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Inputs" sheetId="3" state="visible" r:id="rId3"/>
    <sheet xmlns:r="http://schemas.openxmlformats.org/officeDocument/2006/relationships" name="Bear" sheetId="4" state="visible" r:id="rId4"/>
    <sheet xmlns:r="http://schemas.openxmlformats.org/officeDocument/2006/relationships" name="Base" sheetId="5" state="visible" r:id="rId5"/>
    <sheet xmlns:r="http://schemas.openxmlformats.org/officeDocument/2006/relationships" name="Bull" sheetId="6" state="visible" r:id="rId6"/>
    <sheet xmlns:r="http://schemas.openxmlformats.org/officeDocument/2006/relationships" name="Sensitivity" sheetId="7" state="visible" r:id="rId7"/>
    <sheet xmlns:r="http://schemas.openxmlformats.org/officeDocument/2006/relationships" name="Propellant_Check" sheetId="8" state="visible" r:id="rId8"/>
    <sheet xmlns:r="http://schemas.openxmlformats.org/officeDocument/2006/relationships" name="Body_Inventory" sheetId="9" state="visible" r:id="rId9"/>
    <sheet xmlns:r="http://schemas.openxmlformats.org/officeDocument/2006/relationships" name="Reference_Data" sheetId="10" state="visible" r:id="rId10"/>
    <sheet xmlns:r="http://schemas.openxmlformats.org/officeDocument/2006/relationships" name="Sources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#,##0.0"/>
    <numFmt numFmtId="166" formatCode="0.0000"/>
  </numFmts>
  <fonts count="10">
    <font>
      <name val="Calibri"/>
      <family val="2"/>
      <color theme="1"/>
      <sz val="11"/>
      <scheme val="minor"/>
    </font>
    <font>
      <name val="Calibri"/>
      <b val="1"/>
      <color rgb="000B1F3A"/>
      <sz val="16"/>
    </font>
    <font>
      <name val="Calibri"/>
      <i val="1"/>
      <color rgb="007C2D12"/>
      <sz val="10"/>
    </font>
    <font>
      <name val="Calibri"/>
      <color rgb="006B7280"/>
      <sz val="9"/>
    </font>
    <font>
      <name val="Calibri"/>
      <b val="1"/>
    </font>
    <font>
      <name val="Calibri"/>
      <b val="1"/>
      <color rgb="00FFFFFF"/>
      <sz val="11"/>
    </font>
    <font>
      <name val="Calibri"/>
      <b val="1"/>
      <color rgb="001D4ED8"/>
    </font>
    <font>
      <i val="1"/>
      <color rgb="007C2D12"/>
    </font>
    <font>
      <b val="1"/>
      <color rgb="000B1F3A"/>
      <sz val="12"/>
    </font>
    <font>
      <i val="1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FF7D6"/>
      </patternFill>
    </fill>
    <fill>
      <patternFill patternType="solid">
        <fgColor rgb="00E5ECF4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  <xf numFmtId="0" fontId="5" fillId="2" borderId="1" applyAlignment="1" pivotButton="0" quotePrefix="0" xfId="0">
      <alignment vertical="center" wrapText="1"/>
    </xf>
    <xf numFmtId="165" fontId="0" fillId="0" borderId="1" pivotButton="0" quotePrefix="0" xfId="0"/>
    <xf numFmtId="0" fontId="8" fillId="0" borderId="0" pivotButton="0" quotePrefix="0" xfId="0"/>
    <xf numFmtId="3" fontId="0" fillId="0" borderId="0" pivotButton="0" quotePrefix="0" xfId="0"/>
    <xf numFmtId="2" fontId="0" fillId="0" borderId="0" pivotButton="0" quotePrefix="0" xfId="0"/>
    <xf numFmtId="164" fontId="0" fillId="0" borderId="0" pivotButton="0" quotePrefix="0" xfId="0"/>
    <xf numFmtId="3" fontId="6" fillId="3" borderId="1" pivotButton="0" quotePrefix="0" xfId="0"/>
    <xf numFmtId="2" fontId="6" fillId="3" borderId="1" pivotButton="0" quotePrefix="0" xfId="0"/>
    <xf numFmtId="164" fontId="6" fillId="3" borderId="1" pivotButton="0" quotePrefix="0" xfId="0"/>
    <xf numFmtId="165" fontId="0" fillId="0" borderId="0" pivotButton="0" quotePrefix="0" xfId="0"/>
    <xf numFmtId="166" fontId="0" fillId="0" borderId="0" pivotButton="0" quotePrefix="0" xfId="0"/>
    <xf numFmtId="165" fontId="4" fillId="4" borderId="0" pivotButton="0" quotePrefix="0" xfId="0"/>
    <xf numFmtId="0" fontId="7" fillId="0" borderId="0" pivotButton="0" quotePrefix="0" xfId="0"/>
    <xf numFmtId="0" fontId="9" fillId="0" borderId="0" pivotButton="0" quotePrefix="0" xfId="0"/>
    <xf numFmtId="0" fontId="6" fillId="3" borderId="0" pivotButton="0" quotePrefix="0" xfId="0"/>
    <xf numFmtId="3" fontId="0" fillId="0" borderId="1" pivotButton="0" quotePrefix="0" xfId="0"/>
    <xf numFmtId="11" fontId="0" fillId="0" borderId="0" pivotButton="0" quotePrefix="0" xfId="0"/>
    <xf numFmtId="2" fontId="6" fillId="3" borderId="0" pivotButton="0" quotePrefix="0" xfId="0"/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NPV by scenario ($M, illustrative)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ln xmlns:a="http://schemas.openxmlformats.org/drawingml/2006/main">
              <a:prstDash val="solid"/>
            </a:ln>
          </spPr>
          <cat>
            <numRef>
              <f>'Summary'!$B$5:$D$5</f>
            </numRef>
          </cat>
          <val>
            <numRef>
              <f>'Summary'!$B$6:$D$6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$M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5</col>
      <colOff>0</colOff>
      <row>4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2" customWidth="1" min="1" max="1"/>
    <col width="110" customWidth="1" min="2" max="2"/>
  </cols>
  <sheetData>
    <row r="1">
      <c r="A1" s="1" t="inlineStr">
        <is>
          <t>532 Herculina — Illustrative Valuation Model (Sample Edition)</t>
        </is>
      </c>
    </row>
    <row r="2">
      <c r="A2" s="2" t="inlineStr">
        <is>
          <t>Every output in this workbook is a SCENARIO computed from the assumptions you enter. None of the outputs are forecasts or facts.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 ht="45" customHeight="1">
      <c r="A5" s="4" t="inlineStr">
        <is>
          <t>Purpose</t>
        </is>
      </c>
      <c r="B5" s="5" t="inlineStr">
        <is>
          <t>A transparent, editable cash-flow model for a hypothetical venture supplying bulk regolith for radiation shielding and construction feedstock sourced from 532 Herculina. Transit times and delta-v default to SRI estimates for this body; every other default is an SRI assumption.</t>
        </is>
      </c>
    </row>
    <row r="6" ht="60" customHeight="1">
      <c r="A6" s="4" t="inlineStr">
        <is>
          <t>How to use</t>
        </is>
      </c>
      <c r="B6" s="5" t="inlineStr">
        <is>
          <t>1) Edit yellow cells on 'Inputs' (Bear / Base / Bull). 2) Each scenario tab recalculates an annual cash flow with formulas. 3) 'Summary' compares NPV, risk-adjusted NPV and break-even value. 4) 'Propellant_Check' shows rocket-equation efficiency at 450 / 1,500 / 3,000 s. 5) 'Body_Inventory' converts sourced physical data into contained-resource ranges.</t>
        </is>
      </c>
    </row>
    <row r="7" ht="30" customHeight="1">
      <c r="A7" s="4" t="inlineStr">
        <is>
          <t>Colour code</t>
        </is>
      </c>
      <c r="B7" s="5" t="inlineStr">
        <is>
          <t>Yellow fill + blue text = user-editable assumption. White = formula. Do not overwrite formulas.</t>
        </is>
      </c>
    </row>
    <row r="8" ht="75" customHeight="1">
      <c r="A8" s="4" t="inlineStr">
        <is>
          <t>Model logic</t>
        </is>
      </c>
      <c r="B8" s="5" t="inlineStr">
        <is>
          <t>Capex is spread evenly over development. Launch cost = dry mass x rocket-equation mass ratio (exp(dv/(g0 x Isp))) x launch $/kg, booked in the last development year. Operations start after outbound transit. Product shipped each operating year = extraction rate x usable fraction; delivered = shipped x transport efficiency, after the return transit. Cash flows are discounted at end of year.</t>
        </is>
      </c>
    </row>
    <row r="9" ht="30" customHeight="1">
      <c r="A9" s="4" t="inlineStr">
        <is>
          <t>Risk adjustment</t>
        </is>
      </c>
      <c r="B9" s="5" t="inlineStr">
        <is>
          <t>Risk-adjusted NPV = -PV(capex + launch) + P(technical success) x PV(revenue - opex). A simplification; real programmes have staged gates.</t>
        </is>
      </c>
    </row>
    <row r="10" ht="45" customHeight="1">
      <c r="A10" s="4" t="inlineStr">
        <is>
          <t>Key tension</t>
        </is>
      </c>
      <c r="B10" s="5" t="inlineStr">
        <is>
          <t>Launch cost appears twice: as a cost, and as the ceiling on what in-space product is worth. Very cheap launch plus very high in-space value is internally inconsistent unless the product is used far beyond LEO.</t>
        </is>
      </c>
    </row>
    <row r="11" ht="45" customHeight="1">
      <c r="A11" s="4" t="inlineStr">
        <is>
          <t>Confidence grades</t>
        </is>
      </c>
      <c r="B11" s="5" t="inlineStr">
        <is>
          <t>MEASURED = published measurement in a cited source. INFERRED = SRI arithmetic from measured inputs, or a source's estimate. ASSUMED = SRI assumption. All Bear/Base/Bull defaults are assumptions unless a basis is shown.</t>
        </is>
      </c>
    </row>
    <row r="12" ht="30" customHeight="1">
      <c r="A12" s="4" t="inlineStr">
        <is>
          <t>Sources</t>
        </is>
      </c>
      <c r="B12" s="5" t="inlineStr">
        <is>
          <t>See 'Reference_Data' and the Sources appendix of the companion PDF report.</t>
        </is>
      </c>
    </row>
    <row r="13" ht="30" customHeight="1">
      <c r="A13" s="4" t="inlineStr">
        <is>
          <t>Publisher</t>
        </is>
      </c>
      <c r="B13" s="5" t="inlineStr">
        <is>
          <t>Space Resource Intelligence, published by 10timesIt LLC — herculina.space. Sample edition. Not investment, legal or engineering advice.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18" customWidth="1" min="3" max="3"/>
    <col width="18" customWidth="1" min="4" max="4"/>
  </cols>
  <sheetData>
    <row r="1">
      <c r="A1" s="1" t="inlineStr">
        <is>
          <t>Scenario summary — illustrative outputs</t>
        </is>
      </c>
    </row>
    <row r="2">
      <c r="A2" s="2" t="inlineStr">
        <is>
          <t>Scenarios computed from your assumptions, not forecasts.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Metric</t>
        </is>
      </c>
      <c r="B5" s="6" t="inlineStr">
        <is>
          <t>Bear</t>
        </is>
      </c>
      <c r="C5" s="6" t="inlineStr">
        <is>
          <t>Base</t>
        </is>
      </c>
      <c r="D5" s="6" t="inlineStr">
        <is>
          <t>Bull</t>
        </is>
      </c>
    </row>
    <row r="6">
      <c r="A6" s="4" t="inlineStr">
        <is>
          <t>NPV ($M)</t>
        </is>
      </c>
      <c r="B6" s="7">
        <f>'Bear'!B47</f>
        <v/>
      </c>
      <c r="C6" s="7">
        <f>'Base'!B47</f>
        <v/>
      </c>
      <c r="D6" s="7">
        <f>'Bull'!B47</f>
        <v/>
      </c>
    </row>
    <row r="7">
      <c r="A7" s="4" t="inlineStr">
        <is>
          <t>PV capex + launch ($M)</t>
        </is>
      </c>
      <c r="B7" s="7">
        <f>'Bear'!B48</f>
        <v/>
      </c>
      <c r="C7" s="7">
        <f>'Base'!B48</f>
        <v/>
      </c>
      <c r="D7" s="7">
        <f>'Bull'!B48</f>
        <v/>
      </c>
    </row>
    <row r="8">
      <c r="A8" s="4" t="inlineStr">
        <is>
          <t>PV revenue - opex ($M)</t>
        </is>
      </c>
      <c r="B8" s="7">
        <f>'Bear'!B49</f>
        <v/>
      </c>
      <c r="C8" s="7">
        <f>'Base'!B49</f>
        <v/>
      </c>
      <c r="D8" s="7">
        <f>'Bull'!B49</f>
        <v/>
      </c>
    </row>
    <row r="9">
      <c r="A9" s="4" t="inlineStr">
        <is>
          <t>Risk-adjusted NPV ($M)</t>
        </is>
      </c>
      <c r="B9" s="7">
        <f>'Bear'!B50</f>
        <v/>
      </c>
      <c r="C9" s="7">
        <f>'Base'!B50</f>
        <v/>
      </c>
      <c r="D9" s="7">
        <f>'Bull'!B50</f>
        <v/>
      </c>
    </row>
    <row r="10">
      <c r="A10" s="4" t="inlineStr">
        <is>
          <t>Total regolith delivered (t)</t>
        </is>
      </c>
      <c r="B10" s="7">
        <f>'Bear'!B51</f>
        <v/>
      </c>
      <c r="C10" s="7">
        <f>'Base'!B51</f>
        <v/>
      </c>
      <c r="D10" s="7">
        <f>'Bull'!B51</f>
        <v/>
      </c>
    </row>
    <row r="11">
      <c r="A11" s="4" t="inlineStr">
        <is>
          <t>First delivery year</t>
        </is>
      </c>
      <c r="B11" s="7">
        <f>'Bear'!B52</f>
        <v/>
      </c>
      <c r="C11" s="7">
        <f>'Base'!B52</f>
        <v/>
      </c>
      <c r="D11" s="7">
        <f>'Bull'!B52</f>
        <v/>
      </c>
    </row>
    <row r="12">
      <c r="A12" s="4" t="inlineStr">
        <is>
          <t>Break-even delivered value ($/kg)</t>
        </is>
      </c>
      <c r="B12" s="7">
        <f>'Bear'!B53</f>
        <v/>
      </c>
      <c r="C12" s="7">
        <f>'Base'!B53</f>
        <v/>
      </c>
      <c r="D12" s="7">
        <f>'Bull'!B53</f>
        <v/>
      </c>
    </row>
    <row r="13">
      <c r="A13" s="4" t="inlineStr">
        <is>
          <t>Break-even value / launch cost (x)</t>
        </is>
      </c>
      <c r="B13" s="7">
        <f>'Bear'!B54</f>
        <v/>
      </c>
      <c r="C13" s="7">
        <f>'Base'!B54</f>
        <v/>
      </c>
      <c r="D13" s="7">
        <f>'Bull'!B54</f>
        <v/>
      </c>
    </row>
    <row r="14">
      <c r="A14" s="4" t="inlineStr">
        <is>
          <t>Undiscounted cumulative cash ($M)</t>
        </is>
      </c>
      <c r="B14" s="7">
        <f>'Bear'!B55</f>
        <v/>
      </c>
      <c r="C14" s="7">
        <f>'Base'!B55</f>
        <v/>
      </c>
      <c r="D14" s="7">
        <f>'Bull'!B55</f>
        <v/>
      </c>
    </row>
    <row r="16">
      <c r="A16" s="8" t="inlineStr">
        <is>
          <t>Key inputs echoed</t>
        </is>
      </c>
    </row>
    <row r="17">
      <c r="A17" t="inlineStr">
        <is>
          <t>Launch cost to LEO ($/kg)</t>
        </is>
      </c>
      <c r="B17" s="9">
        <f>Inputs!C6</f>
        <v/>
      </c>
      <c r="C17" s="9">
        <f>Inputs!D6</f>
        <v/>
      </c>
      <c r="D17" s="9">
        <f>Inputs!E6</f>
        <v/>
      </c>
    </row>
    <row r="18">
      <c r="A18" t="inlineStr">
        <is>
          <t>In-space regolith value (delivered) ($/kg)</t>
        </is>
      </c>
      <c r="B18" s="9">
        <f>Inputs!C7</f>
        <v/>
      </c>
      <c r="C18" s="9">
        <f>Inputs!D7</f>
        <v/>
      </c>
      <c r="D18" s="9">
        <f>Inputs!E7</f>
        <v/>
      </c>
    </row>
    <row r="19">
      <c r="A19" t="inlineStr">
        <is>
          <t>Plant + spacecraft dry mass at the body (kg)</t>
        </is>
      </c>
      <c r="B19" s="9">
        <f>Inputs!C8</f>
        <v/>
      </c>
      <c r="C19" s="9">
        <f>Inputs!D8</f>
        <v/>
      </c>
      <c r="D19" s="9">
        <f>Inputs!E8</f>
        <v/>
      </c>
    </row>
    <row r="20">
      <c r="A20" t="inlineStr">
        <is>
          <t>Propulsion specific impulse (s)</t>
        </is>
      </c>
      <c r="B20" s="9">
        <f>Inputs!C9</f>
        <v/>
      </c>
      <c r="C20" s="9">
        <f>Inputs!D9</f>
        <v/>
      </c>
      <c r="D20" s="9">
        <f>Inputs!E9</f>
        <v/>
      </c>
    </row>
    <row r="21">
      <c r="A21" t="inlineStr">
        <is>
          <t>Delta-v, LEO to rendezvous (ideal impulsive) (km/s)</t>
        </is>
      </c>
      <c r="B21" s="10">
        <f>Inputs!C10</f>
        <v/>
      </c>
      <c r="C21" s="10">
        <f>Inputs!D10</f>
        <v/>
      </c>
      <c r="D21" s="10">
        <f>Inputs!E10</f>
        <v/>
      </c>
    </row>
    <row r="22">
      <c r="A22" t="inlineStr">
        <is>
          <t>Programme capex excl. launch ($M)</t>
        </is>
      </c>
      <c r="B22" s="9">
        <f>Inputs!C11</f>
        <v/>
      </c>
      <c r="C22" s="9">
        <f>Inputs!D11</f>
        <v/>
      </c>
      <c r="D22" s="9">
        <f>Inputs!E11</f>
        <v/>
      </c>
    </row>
    <row r="23">
      <c r="A23" t="inlineStr">
        <is>
          <t>Development period (years)</t>
        </is>
      </c>
      <c r="B23" s="9">
        <f>Inputs!C12</f>
        <v/>
      </c>
      <c r="C23" s="9">
        <f>Inputs!D12</f>
        <v/>
      </c>
      <c r="D23" s="9">
        <f>Inputs!E12</f>
        <v/>
      </c>
    </row>
    <row r="24">
      <c r="A24" t="inlineStr">
        <is>
          <t>Outbound transit (years)</t>
        </is>
      </c>
      <c r="B24" s="9">
        <f>Inputs!C13</f>
        <v/>
      </c>
      <c r="C24" s="9">
        <f>Inputs!D13</f>
        <v/>
      </c>
      <c r="D24" s="9">
        <f>Inputs!E13</f>
        <v/>
      </c>
    </row>
    <row r="25">
      <c r="A25" t="inlineStr">
        <is>
          <t>Return transit (laden) (years)</t>
        </is>
      </c>
      <c r="B25" s="9">
        <f>Inputs!C14</f>
        <v/>
      </c>
      <c r="C25" s="9">
        <f>Inputs!D14</f>
        <v/>
      </c>
      <c r="D25" s="9">
        <f>Inputs!E14</f>
        <v/>
      </c>
    </row>
    <row r="26">
      <c r="A26" t="inlineStr">
        <is>
          <t>Extraction rate (t/yr)</t>
        </is>
      </c>
      <c r="B26" s="9">
        <f>Inputs!C15</f>
        <v/>
      </c>
      <c r="C26" s="9">
        <f>Inputs!D15</f>
        <v/>
      </c>
      <c r="D26" s="9">
        <f>Inputs!E15</f>
        <v/>
      </c>
    </row>
    <row r="27">
      <c r="A27" t="inlineStr">
        <is>
          <t>Usable regolith fraction of extracted material (fraction)</t>
        </is>
      </c>
      <c r="B27" s="10">
        <f>Inputs!C16</f>
        <v/>
      </c>
      <c r="C27" s="10">
        <f>Inputs!D16</f>
        <v/>
      </c>
      <c r="D27" s="10">
        <f>Inputs!E16</f>
        <v/>
      </c>
    </row>
    <row r="28">
      <c r="A28" t="inlineStr">
        <is>
          <t>Transport efficiency (delivered / shipped) (fraction)</t>
        </is>
      </c>
      <c r="B28" s="10">
        <f>Inputs!C17</f>
        <v/>
      </c>
      <c r="C28" s="10">
        <f>Inputs!D17</f>
        <v/>
      </c>
      <c r="D28" s="10">
        <f>Inputs!E17</f>
        <v/>
      </c>
    </row>
    <row r="29">
      <c r="A29" t="inlineStr">
        <is>
          <t>Operating years at body (years)</t>
        </is>
      </c>
      <c r="B29" s="9">
        <f>Inputs!C18</f>
        <v/>
      </c>
      <c r="C29" s="9">
        <f>Inputs!D18</f>
        <v/>
      </c>
      <c r="D29" s="9">
        <f>Inputs!E18</f>
        <v/>
      </c>
    </row>
    <row r="30">
      <c r="A30" t="inlineStr">
        <is>
          <t>Annual operating cost ($M/yr)</t>
        </is>
      </c>
      <c r="B30" s="9">
        <f>Inputs!C19</f>
        <v/>
      </c>
      <c r="C30" s="9">
        <f>Inputs!D19</f>
        <v/>
      </c>
      <c r="D30" s="9">
        <f>Inputs!E19</f>
        <v/>
      </c>
    </row>
    <row r="31">
      <c r="A31" t="inlineStr">
        <is>
          <t>Discount rate (%)</t>
        </is>
      </c>
      <c r="B31" s="11">
        <f>Inputs!C20</f>
        <v/>
      </c>
      <c r="C31" s="11">
        <f>Inputs!D20</f>
        <v/>
      </c>
      <c r="D31" s="11">
        <f>Inputs!E20</f>
        <v/>
      </c>
    </row>
    <row r="32">
      <c r="A32" t="inlineStr">
        <is>
          <t>Probability of technical success (fraction)</t>
        </is>
      </c>
      <c r="B32" s="10">
        <f>Inputs!C21</f>
        <v/>
      </c>
      <c r="C32" s="10">
        <f>Inputs!D21</f>
        <v/>
      </c>
      <c r="D32" s="10">
        <f>Inputs!E21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0" customWidth="1" min="2" max="2"/>
    <col width="12" customWidth="1" min="3" max="3"/>
    <col width="12" customWidth="1" min="4" max="4"/>
    <col width="12" customWidth="1" min="5" max="5"/>
    <col width="16" customWidth="1" min="6" max="6"/>
    <col width="95" customWidth="1" min="7" max="7"/>
  </cols>
  <sheetData>
    <row r="1">
      <c r="A1" s="1" t="inlineStr">
        <is>
          <t>Inputs — editable assumptions by scenario</t>
        </is>
      </c>
    </row>
    <row r="2">
      <c r="A2" s="2" t="inlineStr">
        <is>
          <t>Yellow cells are assumptions. Defaults are SRI illustrative assumptions except where a basis is noted.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Parameter</t>
        </is>
      </c>
      <c r="B5" s="6" t="inlineStr">
        <is>
          <t>Unit</t>
        </is>
      </c>
      <c r="C5" s="6" t="inlineStr">
        <is>
          <t>Bear</t>
        </is>
      </c>
      <c r="D5" s="6" t="inlineStr">
        <is>
          <t>Base</t>
        </is>
      </c>
      <c r="E5" s="6" t="inlineStr">
        <is>
          <t>Bull</t>
        </is>
      </c>
      <c r="F5" s="6" t="inlineStr">
        <is>
          <t>Grade</t>
        </is>
      </c>
      <c r="G5" s="6" t="inlineStr">
        <is>
          <t>Basis / reference</t>
        </is>
      </c>
    </row>
    <row r="6" ht="32" customHeight="1">
      <c r="A6" t="inlineStr">
        <is>
          <t>Launch cost to LEO</t>
        </is>
      </c>
      <c r="B6" t="inlineStr">
        <is>
          <t>$/kg</t>
        </is>
      </c>
      <c r="C6" s="12" t="n">
        <v>2720</v>
      </c>
      <c r="D6" s="12" t="n">
        <v>1410</v>
      </c>
      <c r="E6" s="12" t="n">
        <v>500</v>
      </c>
      <c r="F6" t="inlineStr">
        <is>
          <t>Assumption</t>
        </is>
      </c>
      <c r="G6" s="5" t="inlineStr">
        <is>
          <t>Bear/Base anchor: Jones (2018, NASA NTRS ICES-2018-81) Falcon 9 ≈ $2.7k/kg, Falcon Heavy ≈ $1.4k/kg (2018 $). Bull is an SRI assumption for future fully reusable launch.</t>
        </is>
      </c>
    </row>
    <row r="7" ht="32" customHeight="1">
      <c r="A7" t="inlineStr">
        <is>
          <t>In-space regolith value (delivered)</t>
        </is>
      </c>
      <c r="B7" t="inlineStr">
        <is>
          <t>$/kg</t>
        </is>
      </c>
      <c r="C7" s="12" t="n">
        <v>100</v>
      </c>
      <c r="D7" s="12" t="n">
        <v>300</v>
      </c>
      <c r="E7" s="12" t="n">
        <v>600</v>
      </c>
      <c r="F7" t="inlineStr">
        <is>
          <t>Assumption</t>
        </is>
      </c>
      <c r="G7" s="5" t="inlineStr">
        <is>
          <t>No market price exists. Proxy = avoided cost of launching equivalent mass from Earth to the point of use. SRI assumption. Bulk regolith is valued lower because it substitutes for cheap shielding mass.</t>
        </is>
      </c>
    </row>
    <row r="8" ht="32" customHeight="1">
      <c r="A8" t="inlineStr">
        <is>
          <t>Plant + spacecraft dry mass at the body</t>
        </is>
      </c>
      <c r="B8" t="inlineStr">
        <is>
          <t>kg</t>
        </is>
      </c>
      <c r="C8" s="12" t="n">
        <v>20000</v>
      </c>
      <c r="D8" s="12" t="n">
        <v>10000</v>
      </c>
      <c r="E8" s="12" t="n">
        <v>5000</v>
      </c>
      <c r="F8" t="inlineStr">
        <is>
          <t>Assumption</t>
        </is>
      </c>
      <c r="G8" s="5" t="inlineStr">
        <is>
          <t>SRI assumption.</t>
        </is>
      </c>
    </row>
    <row r="9" ht="32" customHeight="1">
      <c r="A9" t="inlineStr">
        <is>
          <t>Propulsion specific impulse</t>
        </is>
      </c>
      <c r="B9" t="inlineStr">
        <is>
          <t>s</t>
        </is>
      </c>
      <c r="C9" s="12" t="n">
        <v>450</v>
      </c>
      <c r="D9" s="12" t="n">
        <v>1500</v>
      </c>
      <c r="E9" s="12" t="n">
        <v>3000</v>
      </c>
      <c r="F9" t="inlineStr">
        <is>
          <t>Assumption</t>
        </is>
      </c>
      <c r="G9" s="5" t="inlineStr">
        <is>
          <t>450 s ≈ high-performance chemical; 1,500–3,000 s ≈ solar-electric propulsion. SRI assumption.</t>
        </is>
      </c>
    </row>
    <row r="10" ht="32" customHeight="1">
      <c r="A10" t="inlineStr">
        <is>
          <t>Delta-v, LEO to rendezvous (ideal impulsive)</t>
        </is>
      </c>
      <c r="B10" t="inlineStr">
        <is>
          <t>km/s</t>
        </is>
      </c>
      <c r="C10" s="13" t="n">
        <v>11.41</v>
      </c>
      <c r="D10" s="13" t="n">
        <v>11.41</v>
      </c>
      <c r="E10" s="13" t="n">
        <v>11.41</v>
      </c>
      <c r="F10" t="inlineStr">
        <is>
          <t>Inferred</t>
        </is>
      </c>
      <c r="G10" s="5" t="inlineStr">
        <is>
          <t>SRI calc from orbital elements (two-impulse Hohmann approximation, plus plane change). Real trajectories differ.</t>
        </is>
      </c>
    </row>
    <row r="11" ht="32" customHeight="1">
      <c r="A11" t="inlineStr">
        <is>
          <t>Programme capex excl. launch</t>
        </is>
      </c>
      <c r="B11" t="inlineStr">
        <is>
          <t>$M</t>
        </is>
      </c>
      <c r="C11" s="12" t="n">
        <v>3000</v>
      </c>
      <c r="D11" s="12" t="n">
        <v>1500</v>
      </c>
      <c r="E11" s="12" t="n">
        <v>750</v>
      </c>
      <c r="F11" t="inlineStr">
        <is>
          <t>Assumption</t>
        </is>
      </c>
      <c r="G11" s="5" t="inlineStr">
        <is>
          <t>Benchmarks: NASA Psyche life-cycle cost $985M incl. launch (NASA, 2022); AstroForge Odin built for ~$3.5M (company). SRI assumption.</t>
        </is>
      </c>
    </row>
    <row r="12" ht="32" customHeight="1">
      <c r="A12" t="inlineStr">
        <is>
          <t>Development period</t>
        </is>
      </c>
      <c r="B12" t="inlineStr">
        <is>
          <t>years</t>
        </is>
      </c>
      <c r="C12" s="12" t="n">
        <v>8</v>
      </c>
      <c r="D12" s="12" t="n">
        <v>6</v>
      </c>
      <c r="E12" s="12" t="n">
        <v>5</v>
      </c>
      <c r="F12" t="inlineStr">
        <is>
          <t>Assumption</t>
        </is>
      </c>
      <c r="G12" s="5" t="inlineStr">
        <is>
          <t>SRI assumption.</t>
        </is>
      </c>
    </row>
    <row r="13" ht="32" customHeight="1">
      <c r="A13" t="inlineStr">
        <is>
          <t>Outbound transit</t>
        </is>
      </c>
      <c r="B13" t="inlineStr">
        <is>
          <t>years</t>
        </is>
      </c>
      <c r="C13" s="12" t="n">
        <v>2</v>
      </c>
      <c r="D13" s="12" t="n">
        <v>1</v>
      </c>
      <c r="E13" s="12" t="n">
        <v>1</v>
      </c>
      <c r="F13" t="inlineStr">
        <is>
          <t>Inferred / Assumption</t>
        </is>
      </c>
      <c r="G13" s="5" t="inlineStr">
        <is>
          <t>Ideal Hohmann transfer ≈ 1.3 yr (SRI calc). Bear = 1.5×, Bull = 0.8× (gravity assists). SRI assumption.</t>
        </is>
      </c>
    </row>
    <row r="14" ht="32" customHeight="1">
      <c r="A14" t="inlineStr">
        <is>
          <t>Return transit (laden)</t>
        </is>
      </c>
      <c r="B14" t="inlineStr">
        <is>
          <t>years</t>
        </is>
      </c>
      <c r="C14" s="12" t="n">
        <v>2</v>
      </c>
      <c r="D14" s="12" t="n">
        <v>1</v>
      </c>
      <c r="E14" s="12" t="n">
        <v>1</v>
      </c>
      <c r="F14" t="inlineStr">
        <is>
          <t>Assumption</t>
        </is>
      </c>
      <c r="G14" s="5" t="inlineStr">
        <is>
          <t>SRI assumption: same as outbound.</t>
        </is>
      </c>
    </row>
    <row r="15" ht="32" customHeight="1">
      <c r="A15" t="inlineStr">
        <is>
          <t>Extraction rate</t>
        </is>
      </c>
      <c r="B15" t="inlineStr">
        <is>
          <t>t/yr</t>
        </is>
      </c>
      <c r="C15" s="12" t="n">
        <v>100</v>
      </c>
      <c r="D15" s="12" t="n">
        <v>1000</v>
      </c>
      <c r="E15" s="12" t="n">
        <v>5000</v>
      </c>
      <c r="F15" t="inlineStr">
        <is>
          <t>Assumption</t>
        </is>
      </c>
      <c r="G15" s="5" t="inlineStr">
        <is>
          <t>No extraction from any small body has been demonstrated at any scale. SRI assumption.</t>
        </is>
      </c>
    </row>
    <row r="16" ht="32" customHeight="1">
      <c r="A16" t="inlineStr">
        <is>
          <t>Usable regolith fraction of extracted material</t>
        </is>
      </c>
      <c r="B16" t="inlineStr">
        <is>
          <t>fraction</t>
        </is>
      </c>
      <c r="C16" s="13" t="n">
        <v>0.5</v>
      </c>
      <c r="D16" s="13" t="n">
        <v>0.7</v>
      </c>
      <c r="E16" s="13" t="n">
        <v>0.9</v>
      </c>
      <c r="F16" t="inlineStr">
        <is>
          <t>Assumption</t>
        </is>
      </c>
      <c r="G16" s="5" t="inlineStr">
        <is>
          <t>Bulk regolith used with minimal processing (sorting/compaction) for shielding; SRI assumption.</t>
        </is>
      </c>
    </row>
    <row r="17" ht="32" customHeight="1">
      <c r="A17" t="inlineStr">
        <is>
          <t>Transport efficiency (delivered / shipped)</t>
        </is>
      </c>
      <c r="B17" t="inlineStr">
        <is>
          <t>fraction</t>
        </is>
      </c>
      <c r="C17" s="13" t="n">
        <v>0.5</v>
      </c>
      <c r="D17" s="13" t="n">
        <v>0.7</v>
      </c>
      <c r="E17" s="13" t="n">
        <v>0.85</v>
      </c>
      <c r="F17" t="inlineStr">
        <is>
          <t>Assumption</t>
        </is>
      </c>
      <c r="G17" s="5" t="inlineStr">
        <is>
          <t>Share of shipped product not consumed as propellant or lost. SRI assumption.</t>
        </is>
      </c>
    </row>
    <row r="18" ht="32" customHeight="1">
      <c r="A18" t="inlineStr">
        <is>
          <t>Operating years at body</t>
        </is>
      </c>
      <c r="B18" t="inlineStr">
        <is>
          <t>years</t>
        </is>
      </c>
      <c r="C18" s="12" t="n">
        <v>10</v>
      </c>
      <c r="D18" s="12" t="n">
        <v>10</v>
      </c>
      <c r="E18" s="12" t="n">
        <v>10</v>
      </c>
      <c r="F18" t="inlineStr">
        <is>
          <t>Assumption</t>
        </is>
      </c>
      <c r="G18" s="5" t="inlineStr">
        <is>
          <t>SRI assumption.</t>
        </is>
      </c>
    </row>
    <row r="19" ht="32" customHeight="1">
      <c r="A19" t="inlineStr">
        <is>
          <t>Annual operating cost</t>
        </is>
      </c>
      <c r="B19" t="inlineStr">
        <is>
          <t>$M/yr</t>
        </is>
      </c>
      <c r="C19" s="12" t="n">
        <v>150</v>
      </c>
      <c r="D19" s="12" t="n">
        <v>100</v>
      </c>
      <c r="E19" s="12" t="n">
        <v>50</v>
      </c>
      <c r="F19" t="inlineStr">
        <is>
          <t>Assumption</t>
        </is>
      </c>
      <c r="G19" s="5" t="inlineStr">
        <is>
          <t>SRI assumption (deep-space comms, operations team, spares).</t>
        </is>
      </c>
    </row>
    <row r="20" ht="32" customHeight="1">
      <c r="A20" t="inlineStr">
        <is>
          <t>Discount rate</t>
        </is>
      </c>
      <c r="B20" t="inlineStr">
        <is>
          <t>%</t>
        </is>
      </c>
      <c r="C20" s="14" t="n">
        <v>0.15</v>
      </c>
      <c r="D20" s="14" t="n">
        <v>0.12</v>
      </c>
      <c r="E20" s="14" t="n">
        <v>0.1</v>
      </c>
      <c r="F20" t="inlineStr">
        <is>
          <t>Assumption</t>
        </is>
      </c>
      <c r="G20" s="5" t="inlineStr">
        <is>
          <t>Venture-stage deep-tech hurdle rates; SRI assumption.</t>
        </is>
      </c>
    </row>
    <row r="21" ht="32" customHeight="1">
      <c r="A21" t="inlineStr">
        <is>
          <t>Probability of technical success</t>
        </is>
      </c>
      <c r="B21" t="inlineStr">
        <is>
          <t>fraction</t>
        </is>
      </c>
      <c r="C21" s="13" t="n">
        <v>0.2</v>
      </c>
      <c r="D21" s="13" t="n">
        <v>0.35</v>
      </c>
      <c r="E21" s="13" t="n">
        <v>0.5</v>
      </c>
      <c r="F21" t="inlineStr">
        <is>
          <t>Assumption</t>
        </is>
      </c>
      <c r="G21" s="5" t="inlineStr">
        <is>
          <t>SRI assumption.</t>
        </is>
      </c>
    </row>
    <row r="23">
      <c r="A23" s="4" t="inlineStr">
        <is>
          <t>Derived: rocket-equation mass ratio exp(dv/(g0*Isp))</t>
        </is>
      </c>
      <c r="C23" s="10">
        <f>EXP(C10*1000/(9.80665*C9))</f>
        <v/>
      </c>
      <c r="D23" s="10">
        <f>EXP(D10*1000/(9.80665*D9))</f>
        <v/>
      </c>
      <c r="E23" s="10">
        <f>EXP(E10*1000/(9.80665*E9))</f>
        <v/>
      </c>
    </row>
    <row r="24">
      <c r="A24" s="4" t="inlineStr">
        <is>
          <t>Launch cost incl. propellant ($M)</t>
        </is>
      </c>
      <c r="C24" s="15">
        <f>C8*C23*C6/1e6</f>
        <v/>
      </c>
      <c r="D24" s="15">
        <f>D8*D23*D6/1e6</f>
        <v/>
      </c>
      <c r="E24" s="15">
        <f>E8*E23*E6/1e6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Bear scenario — annual cash flow (illustrative)</t>
        </is>
      </c>
    </row>
    <row r="2">
      <c r="A2" s="2" t="inlineStr">
        <is>
          <t>All values driven by Inputs!C. US$ millions unless stated. SCENARIO OUTPUT, NOT A FORECAST.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IF(A6&lt;=Inputs!$C$12,Inputs!$C$11/Inputs!$C$12,0)</f>
        <v/>
      </c>
      <c r="C6" s="15">
        <f>IF(A6=Inputs!$C$12,Inputs!$C$24,0)</f>
        <v/>
      </c>
      <c r="D6" s="15">
        <f>IF(AND(A6&gt;(Inputs!$C$12+Inputs!$C$13),A6&lt;=(Inputs!$C$12+Inputs!$C$13)+Inputs!$C$18),Inputs!$C$19,0)</f>
        <v/>
      </c>
      <c r="E6" s="15">
        <f>IF(AND(A6&gt;(Inputs!$C$12+Inputs!$C$13),A6&lt;=(Inputs!$C$12+Inputs!$C$13)+Inputs!$C$18),Inputs!$C$15*Inputs!$C$16,0)</f>
        <v/>
      </c>
      <c r="F6" s="15">
        <f>IF(AND(A6&gt;(Inputs!$C$12+Inputs!$C$13)+Inputs!$C$14,A6&lt;=(Inputs!$C$12+Inputs!$C$13)+Inputs!$C$14+Inputs!$C$18),Inputs!$C$15*Inputs!$C$16*Inputs!$C$17,0)</f>
        <v/>
      </c>
      <c r="G6" s="15">
        <f>F6*1000*Inputs!$C$7/1e6</f>
        <v/>
      </c>
      <c r="H6" s="15">
        <f>G6-B6-C6-D6</f>
        <v/>
      </c>
      <c r="I6" s="16">
        <f>1/(1+Inputs!$C$20)^A6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IF(A7&lt;=Inputs!$C$12,Inputs!$C$11/Inputs!$C$12,0)</f>
        <v/>
      </c>
      <c r="C7" s="15">
        <f>IF(A7=Inputs!$C$12,Inputs!$C$24,0)</f>
        <v/>
      </c>
      <c r="D7" s="15">
        <f>IF(AND(A7&gt;(Inputs!$C$12+Inputs!$C$13),A7&lt;=(Inputs!$C$12+Inputs!$C$13)+Inputs!$C$18),Inputs!$C$19,0)</f>
        <v/>
      </c>
      <c r="E7" s="15">
        <f>IF(AND(A7&gt;(Inputs!$C$12+Inputs!$C$13),A7&lt;=(Inputs!$C$12+Inputs!$C$13)+Inputs!$C$18),Inputs!$C$15*Inputs!$C$16,0)</f>
        <v/>
      </c>
      <c r="F7" s="15">
        <f>IF(AND(A7&gt;(Inputs!$C$12+Inputs!$C$13)+Inputs!$C$14,A7&lt;=(Inputs!$C$12+Inputs!$C$13)+Inputs!$C$14+Inputs!$C$18),Inputs!$C$15*Inputs!$C$16*Inputs!$C$17,0)</f>
        <v/>
      </c>
      <c r="G7" s="15">
        <f>F7*1000*Inputs!$C$7/1e6</f>
        <v/>
      </c>
      <c r="H7" s="15">
        <f>G7-B7-C7-D7</f>
        <v/>
      </c>
      <c r="I7" s="16">
        <f>1/(1+Inputs!$C$20)^A7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IF(A8&lt;=Inputs!$C$12,Inputs!$C$11/Inputs!$C$12,0)</f>
        <v/>
      </c>
      <c r="C8" s="15">
        <f>IF(A8=Inputs!$C$12,Inputs!$C$24,0)</f>
        <v/>
      </c>
      <c r="D8" s="15">
        <f>IF(AND(A8&gt;(Inputs!$C$12+Inputs!$C$13),A8&lt;=(Inputs!$C$12+Inputs!$C$13)+Inputs!$C$18),Inputs!$C$19,0)</f>
        <v/>
      </c>
      <c r="E8" s="15">
        <f>IF(AND(A8&gt;(Inputs!$C$12+Inputs!$C$13),A8&lt;=(Inputs!$C$12+Inputs!$C$13)+Inputs!$C$18),Inputs!$C$15*Inputs!$C$16,0)</f>
        <v/>
      </c>
      <c r="F8" s="15">
        <f>IF(AND(A8&gt;(Inputs!$C$12+Inputs!$C$13)+Inputs!$C$14,A8&lt;=(Inputs!$C$12+Inputs!$C$13)+Inputs!$C$14+Inputs!$C$18),Inputs!$C$15*Inputs!$C$16*Inputs!$C$17,0)</f>
        <v/>
      </c>
      <c r="G8" s="15">
        <f>F8*1000*Inputs!$C$7/1e6</f>
        <v/>
      </c>
      <c r="H8" s="15">
        <f>G8-B8-C8-D8</f>
        <v/>
      </c>
      <c r="I8" s="16">
        <f>1/(1+Inputs!$C$20)^A8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IF(A9&lt;=Inputs!$C$12,Inputs!$C$11/Inputs!$C$12,0)</f>
        <v/>
      </c>
      <c r="C9" s="15">
        <f>IF(A9=Inputs!$C$12,Inputs!$C$24,0)</f>
        <v/>
      </c>
      <c r="D9" s="15">
        <f>IF(AND(A9&gt;(Inputs!$C$12+Inputs!$C$13),A9&lt;=(Inputs!$C$12+Inputs!$C$13)+Inputs!$C$18),Inputs!$C$19,0)</f>
        <v/>
      </c>
      <c r="E9" s="15">
        <f>IF(AND(A9&gt;(Inputs!$C$12+Inputs!$C$13),A9&lt;=(Inputs!$C$12+Inputs!$C$13)+Inputs!$C$18),Inputs!$C$15*Inputs!$C$16,0)</f>
        <v/>
      </c>
      <c r="F9" s="15">
        <f>IF(AND(A9&gt;(Inputs!$C$12+Inputs!$C$13)+Inputs!$C$14,A9&lt;=(Inputs!$C$12+Inputs!$C$13)+Inputs!$C$14+Inputs!$C$18),Inputs!$C$15*Inputs!$C$16*Inputs!$C$17,0)</f>
        <v/>
      </c>
      <c r="G9" s="15">
        <f>F9*1000*Inputs!$C$7/1e6</f>
        <v/>
      </c>
      <c r="H9" s="15">
        <f>G9-B9-C9-D9</f>
        <v/>
      </c>
      <c r="I9" s="16">
        <f>1/(1+Inputs!$C$20)^A9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IF(A10&lt;=Inputs!$C$12,Inputs!$C$11/Inputs!$C$12,0)</f>
        <v/>
      </c>
      <c r="C10" s="15">
        <f>IF(A10=Inputs!$C$12,Inputs!$C$24,0)</f>
        <v/>
      </c>
      <c r="D10" s="15">
        <f>IF(AND(A10&gt;(Inputs!$C$12+Inputs!$C$13),A10&lt;=(Inputs!$C$12+Inputs!$C$13)+Inputs!$C$18),Inputs!$C$19,0)</f>
        <v/>
      </c>
      <c r="E10" s="15">
        <f>IF(AND(A10&gt;(Inputs!$C$12+Inputs!$C$13),A10&lt;=(Inputs!$C$12+Inputs!$C$13)+Inputs!$C$18),Inputs!$C$15*Inputs!$C$16,0)</f>
        <v/>
      </c>
      <c r="F10" s="15">
        <f>IF(AND(A10&gt;(Inputs!$C$12+Inputs!$C$13)+Inputs!$C$14,A10&lt;=(Inputs!$C$12+Inputs!$C$13)+Inputs!$C$14+Inputs!$C$18),Inputs!$C$15*Inputs!$C$16*Inputs!$C$17,0)</f>
        <v/>
      </c>
      <c r="G10" s="15">
        <f>F10*1000*Inputs!$C$7/1e6</f>
        <v/>
      </c>
      <c r="H10" s="15">
        <f>G10-B10-C10-D10</f>
        <v/>
      </c>
      <c r="I10" s="16">
        <f>1/(1+Inputs!$C$20)^A10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IF(A11&lt;=Inputs!$C$12,Inputs!$C$11/Inputs!$C$12,0)</f>
        <v/>
      </c>
      <c r="C11" s="15">
        <f>IF(A11=Inputs!$C$12,Inputs!$C$24,0)</f>
        <v/>
      </c>
      <c r="D11" s="15">
        <f>IF(AND(A11&gt;(Inputs!$C$12+Inputs!$C$13),A11&lt;=(Inputs!$C$12+Inputs!$C$13)+Inputs!$C$18),Inputs!$C$19,0)</f>
        <v/>
      </c>
      <c r="E11" s="15">
        <f>IF(AND(A11&gt;(Inputs!$C$12+Inputs!$C$13),A11&lt;=(Inputs!$C$12+Inputs!$C$13)+Inputs!$C$18),Inputs!$C$15*Inputs!$C$16,0)</f>
        <v/>
      </c>
      <c r="F11" s="15">
        <f>IF(AND(A11&gt;(Inputs!$C$12+Inputs!$C$13)+Inputs!$C$14,A11&lt;=(Inputs!$C$12+Inputs!$C$13)+Inputs!$C$14+Inputs!$C$18),Inputs!$C$15*Inputs!$C$16*Inputs!$C$17,0)</f>
        <v/>
      </c>
      <c r="G11" s="15">
        <f>F11*1000*Inputs!$C$7/1e6</f>
        <v/>
      </c>
      <c r="H11" s="15">
        <f>G11-B11-C11-D11</f>
        <v/>
      </c>
      <c r="I11" s="16">
        <f>1/(1+Inputs!$C$20)^A11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IF(A12&lt;=Inputs!$C$12,Inputs!$C$11/Inputs!$C$12,0)</f>
        <v/>
      </c>
      <c r="C12" s="15">
        <f>IF(A12=Inputs!$C$12,Inputs!$C$24,0)</f>
        <v/>
      </c>
      <c r="D12" s="15">
        <f>IF(AND(A12&gt;(Inputs!$C$12+Inputs!$C$13),A12&lt;=(Inputs!$C$12+Inputs!$C$13)+Inputs!$C$18),Inputs!$C$19,0)</f>
        <v/>
      </c>
      <c r="E12" s="15">
        <f>IF(AND(A12&gt;(Inputs!$C$12+Inputs!$C$13),A12&lt;=(Inputs!$C$12+Inputs!$C$13)+Inputs!$C$18),Inputs!$C$15*Inputs!$C$16,0)</f>
        <v/>
      </c>
      <c r="F12" s="15">
        <f>IF(AND(A12&gt;(Inputs!$C$12+Inputs!$C$13)+Inputs!$C$14,A12&lt;=(Inputs!$C$12+Inputs!$C$13)+Inputs!$C$14+Inputs!$C$18),Inputs!$C$15*Inputs!$C$16*Inputs!$C$17,0)</f>
        <v/>
      </c>
      <c r="G12" s="15">
        <f>F12*1000*Inputs!$C$7/1e6</f>
        <v/>
      </c>
      <c r="H12" s="15">
        <f>G12-B12-C12-D12</f>
        <v/>
      </c>
      <c r="I12" s="16">
        <f>1/(1+Inputs!$C$20)^A12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IF(A13&lt;=Inputs!$C$12,Inputs!$C$11/Inputs!$C$12,0)</f>
        <v/>
      </c>
      <c r="C13" s="15">
        <f>IF(A13=Inputs!$C$12,Inputs!$C$24,0)</f>
        <v/>
      </c>
      <c r="D13" s="15">
        <f>IF(AND(A13&gt;(Inputs!$C$12+Inputs!$C$13),A13&lt;=(Inputs!$C$12+Inputs!$C$13)+Inputs!$C$18),Inputs!$C$19,0)</f>
        <v/>
      </c>
      <c r="E13" s="15">
        <f>IF(AND(A13&gt;(Inputs!$C$12+Inputs!$C$13),A13&lt;=(Inputs!$C$12+Inputs!$C$13)+Inputs!$C$18),Inputs!$C$15*Inputs!$C$16,0)</f>
        <v/>
      </c>
      <c r="F13" s="15">
        <f>IF(AND(A13&gt;(Inputs!$C$12+Inputs!$C$13)+Inputs!$C$14,A13&lt;=(Inputs!$C$12+Inputs!$C$13)+Inputs!$C$14+Inputs!$C$18),Inputs!$C$15*Inputs!$C$16*Inputs!$C$17,0)</f>
        <v/>
      </c>
      <c r="G13" s="15">
        <f>F13*1000*Inputs!$C$7/1e6</f>
        <v/>
      </c>
      <c r="H13" s="15">
        <f>G13-B13-C13-D13</f>
        <v/>
      </c>
      <c r="I13" s="16">
        <f>1/(1+Inputs!$C$20)^A13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IF(A14&lt;=Inputs!$C$12,Inputs!$C$11/Inputs!$C$12,0)</f>
        <v/>
      </c>
      <c r="C14" s="15">
        <f>IF(A14=Inputs!$C$12,Inputs!$C$24,0)</f>
        <v/>
      </c>
      <c r="D14" s="15">
        <f>IF(AND(A14&gt;(Inputs!$C$12+Inputs!$C$13),A14&lt;=(Inputs!$C$12+Inputs!$C$13)+Inputs!$C$18),Inputs!$C$19,0)</f>
        <v/>
      </c>
      <c r="E14" s="15">
        <f>IF(AND(A14&gt;(Inputs!$C$12+Inputs!$C$13),A14&lt;=(Inputs!$C$12+Inputs!$C$13)+Inputs!$C$18),Inputs!$C$15*Inputs!$C$16,0)</f>
        <v/>
      </c>
      <c r="F14" s="15">
        <f>IF(AND(A14&gt;(Inputs!$C$12+Inputs!$C$13)+Inputs!$C$14,A14&lt;=(Inputs!$C$12+Inputs!$C$13)+Inputs!$C$14+Inputs!$C$18),Inputs!$C$15*Inputs!$C$16*Inputs!$C$17,0)</f>
        <v/>
      </c>
      <c r="G14" s="15">
        <f>F14*1000*Inputs!$C$7/1e6</f>
        <v/>
      </c>
      <c r="H14" s="15">
        <f>G14-B14-C14-D14</f>
        <v/>
      </c>
      <c r="I14" s="16">
        <f>1/(1+Inputs!$C$20)^A14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IF(A15&lt;=Inputs!$C$12,Inputs!$C$11/Inputs!$C$12,0)</f>
        <v/>
      </c>
      <c r="C15" s="15">
        <f>IF(A15=Inputs!$C$12,Inputs!$C$24,0)</f>
        <v/>
      </c>
      <c r="D15" s="15">
        <f>IF(AND(A15&gt;(Inputs!$C$12+Inputs!$C$13),A15&lt;=(Inputs!$C$12+Inputs!$C$13)+Inputs!$C$18),Inputs!$C$19,0)</f>
        <v/>
      </c>
      <c r="E15" s="15">
        <f>IF(AND(A15&gt;(Inputs!$C$12+Inputs!$C$13),A15&lt;=(Inputs!$C$12+Inputs!$C$13)+Inputs!$C$18),Inputs!$C$15*Inputs!$C$16,0)</f>
        <v/>
      </c>
      <c r="F15" s="15">
        <f>IF(AND(A15&gt;(Inputs!$C$12+Inputs!$C$13)+Inputs!$C$14,A15&lt;=(Inputs!$C$12+Inputs!$C$13)+Inputs!$C$14+Inputs!$C$18),Inputs!$C$15*Inputs!$C$16*Inputs!$C$17,0)</f>
        <v/>
      </c>
      <c r="G15" s="15">
        <f>F15*1000*Inputs!$C$7/1e6</f>
        <v/>
      </c>
      <c r="H15" s="15">
        <f>G15-B15-C15-D15</f>
        <v/>
      </c>
      <c r="I15" s="16">
        <f>1/(1+Inputs!$C$20)^A15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IF(A16&lt;=Inputs!$C$12,Inputs!$C$11/Inputs!$C$12,0)</f>
        <v/>
      </c>
      <c r="C16" s="15">
        <f>IF(A16=Inputs!$C$12,Inputs!$C$24,0)</f>
        <v/>
      </c>
      <c r="D16" s="15">
        <f>IF(AND(A16&gt;(Inputs!$C$12+Inputs!$C$13),A16&lt;=(Inputs!$C$12+Inputs!$C$13)+Inputs!$C$18),Inputs!$C$19,0)</f>
        <v/>
      </c>
      <c r="E16" s="15">
        <f>IF(AND(A16&gt;(Inputs!$C$12+Inputs!$C$13),A16&lt;=(Inputs!$C$12+Inputs!$C$13)+Inputs!$C$18),Inputs!$C$15*Inputs!$C$16,0)</f>
        <v/>
      </c>
      <c r="F16" s="15">
        <f>IF(AND(A16&gt;(Inputs!$C$12+Inputs!$C$13)+Inputs!$C$14,A16&lt;=(Inputs!$C$12+Inputs!$C$13)+Inputs!$C$14+Inputs!$C$18),Inputs!$C$15*Inputs!$C$16*Inputs!$C$17,0)</f>
        <v/>
      </c>
      <c r="G16" s="15">
        <f>F16*1000*Inputs!$C$7/1e6</f>
        <v/>
      </c>
      <c r="H16" s="15">
        <f>G16-B16-C16-D16</f>
        <v/>
      </c>
      <c r="I16" s="16">
        <f>1/(1+Inputs!$C$20)^A16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IF(A17&lt;=Inputs!$C$12,Inputs!$C$11/Inputs!$C$12,0)</f>
        <v/>
      </c>
      <c r="C17" s="15">
        <f>IF(A17=Inputs!$C$12,Inputs!$C$24,0)</f>
        <v/>
      </c>
      <c r="D17" s="15">
        <f>IF(AND(A17&gt;(Inputs!$C$12+Inputs!$C$13),A17&lt;=(Inputs!$C$12+Inputs!$C$13)+Inputs!$C$18),Inputs!$C$19,0)</f>
        <v/>
      </c>
      <c r="E17" s="15">
        <f>IF(AND(A17&gt;(Inputs!$C$12+Inputs!$C$13),A17&lt;=(Inputs!$C$12+Inputs!$C$13)+Inputs!$C$18),Inputs!$C$15*Inputs!$C$16,0)</f>
        <v/>
      </c>
      <c r="F17" s="15">
        <f>IF(AND(A17&gt;(Inputs!$C$12+Inputs!$C$13)+Inputs!$C$14,A17&lt;=(Inputs!$C$12+Inputs!$C$13)+Inputs!$C$14+Inputs!$C$18),Inputs!$C$15*Inputs!$C$16*Inputs!$C$17,0)</f>
        <v/>
      </c>
      <c r="G17" s="15">
        <f>F17*1000*Inputs!$C$7/1e6</f>
        <v/>
      </c>
      <c r="H17" s="15">
        <f>G17-B17-C17-D17</f>
        <v/>
      </c>
      <c r="I17" s="16">
        <f>1/(1+Inputs!$C$20)^A17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IF(A18&lt;=Inputs!$C$12,Inputs!$C$11/Inputs!$C$12,0)</f>
        <v/>
      </c>
      <c r="C18" s="15">
        <f>IF(A18=Inputs!$C$12,Inputs!$C$24,0)</f>
        <v/>
      </c>
      <c r="D18" s="15">
        <f>IF(AND(A18&gt;(Inputs!$C$12+Inputs!$C$13),A18&lt;=(Inputs!$C$12+Inputs!$C$13)+Inputs!$C$18),Inputs!$C$19,0)</f>
        <v/>
      </c>
      <c r="E18" s="15">
        <f>IF(AND(A18&gt;(Inputs!$C$12+Inputs!$C$13),A18&lt;=(Inputs!$C$12+Inputs!$C$13)+Inputs!$C$18),Inputs!$C$15*Inputs!$C$16,0)</f>
        <v/>
      </c>
      <c r="F18" s="15">
        <f>IF(AND(A18&gt;(Inputs!$C$12+Inputs!$C$13)+Inputs!$C$14,A18&lt;=(Inputs!$C$12+Inputs!$C$13)+Inputs!$C$14+Inputs!$C$18),Inputs!$C$15*Inputs!$C$16*Inputs!$C$17,0)</f>
        <v/>
      </c>
      <c r="G18" s="15">
        <f>F18*1000*Inputs!$C$7/1e6</f>
        <v/>
      </c>
      <c r="H18" s="15">
        <f>G18-B18-C18-D18</f>
        <v/>
      </c>
      <c r="I18" s="16">
        <f>1/(1+Inputs!$C$20)^A18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IF(A19&lt;=Inputs!$C$12,Inputs!$C$11/Inputs!$C$12,0)</f>
        <v/>
      </c>
      <c r="C19" s="15">
        <f>IF(A19=Inputs!$C$12,Inputs!$C$24,0)</f>
        <v/>
      </c>
      <c r="D19" s="15">
        <f>IF(AND(A19&gt;(Inputs!$C$12+Inputs!$C$13),A19&lt;=(Inputs!$C$12+Inputs!$C$13)+Inputs!$C$18),Inputs!$C$19,0)</f>
        <v/>
      </c>
      <c r="E19" s="15">
        <f>IF(AND(A19&gt;(Inputs!$C$12+Inputs!$C$13),A19&lt;=(Inputs!$C$12+Inputs!$C$13)+Inputs!$C$18),Inputs!$C$15*Inputs!$C$16,0)</f>
        <v/>
      </c>
      <c r="F19" s="15">
        <f>IF(AND(A19&gt;(Inputs!$C$12+Inputs!$C$13)+Inputs!$C$14,A19&lt;=(Inputs!$C$12+Inputs!$C$13)+Inputs!$C$14+Inputs!$C$18),Inputs!$C$15*Inputs!$C$16*Inputs!$C$17,0)</f>
        <v/>
      </c>
      <c r="G19" s="15">
        <f>F19*1000*Inputs!$C$7/1e6</f>
        <v/>
      </c>
      <c r="H19" s="15">
        <f>G19-B19-C19-D19</f>
        <v/>
      </c>
      <c r="I19" s="16">
        <f>1/(1+Inputs!$C$20)^A19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IF(A20&lt;=Inputs!$C$12,Inputs!$C$11/Inputs!$C$12,0)</f>
        <v/>
      </c>
      <c r="C20" s="15">
        <f>IF(A20=Inputs!$C$12,Inputs!$C$24,0)</f>
        <v/>
      </c>
      <c r="D20" s="15">
        <f>IF(AND(A20&gt;(Inputs!$C$12+Inputs!$C$13),A20&lt;=(Inputs!$C$12+Inputs!$C$13)+Inputs!$C$18),Inputs!$C$19,0)</f>
        <v/>
      </c>
      <c r="E20" s="15">
        <f>IF(AND(A20&gt;(Inputs!$C$12+Inputs!$C$13),A20&lt;=(Inputs!$C$12+Inputs!$C$13)+Inputs!$C$18),Inputs!$C$15*Inputs!$C$16,0)</f>
        <v/>
      </c>
      <c r="F20" s="15">
        <f>IF(AND(A20&gt;(Inputs!$C$12+Inputs!$C$13)+Inputs!$C$14,A20&lt;=(Inputs!$C$12+Inputs!$C$13)+Inputs!$C$14+Inputs!$C$18),Inputs!$C$15*Inputs!$C$16*Inputs!$C$17,0)</f>
        <v/>
      </c>
      <c r="G20" s="15">
        <f>F20*1000*Inputs!$C$7/1e6</f>
        <v/>
      </c>
      <c r="H20" s="15">
        <f>G20-B20-C20-D20</f>
        <v/>
      </c>
      <c r="I20" s="16">
        <f>1/(1+Inputs!$C$20)^A20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IF(A21&lt;=Inputs!$C$12,Inputs!$C$11/Inputs!$C$12,0)</f>
        <v/>
      </c>
      <c r="C21" s="15">
        <f>IF(A21=Inputs!$C$12,Inputs!$C$24,0)</f>
        <v/>
      </c>
      <c r="D21" s="15">
        <f>IF(AND(A21&gt;(Inputs!$C$12+Inputs!$C$13),A21&lt;=(Inputs!$C$12+Inputs!$C$13)+Inputs!$C$18),Inputs!$C$19,0)</f>
        <v/>
      </c>
      <c r="E21" s="15">
        <f>IF(AND(A21&gt;(Inputs!$C$12+Inputs!$C$13),A21&lt;=(Inputs!$C$12+Inputs!$C$13)+Inputs!$C$18),Inputs!$C$15*Inputs!$C$16,0)</f>
        <v/>
      </c>
      <c r="F21" s="15">
        <f>IF(AND(A21&gt;(Inputs!$C$12+Inputs!$C$13)+Inputs!$C$14,A21&lt;=(Inputs!$C$12+Inputs!$C$13)+Inputs!$C$14+Inputs!$C$18),Inputs!$C$15*Inputs!$C$16*Inputs!$C$17,0)</f>
        <v/>
      </c>
      <c r="G21" s="15">
        <f>F21*1000*Inputs!$C$7/1e6</f>
        <v/>
      </c>
      <c r="H21" s="15">
        <f>G21-B21-C21-D21</f>
        <v/>
      </c>
      <c r="I21" s="16">
        <f>1/(1+Inputs!$C$20)^A21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IF(A22&lt;=Inputs!$C$12,Inputs!$C$11/Inputs!$C$12,0)</f>
        <v/>
      </c>
      <c r="C22" s="15">
        <f>IF(A22=Inputs!$C$12,Inputs!$C$24,0)</f>
        <v/>
      </c>
      <c r="D22" s="15">
        <f>IF(AND(A22&gt;(Inputs!$C$12+Inputs!$C$13),A22&lt;=(Inputs!$C$12+Inputs!$C$13)+Inputs!$C$18),Inputs!$C$19,0)</f>
        <v/>
      </c>
      <c r="E22" s="15">
        <f>IF(AND(A22&gt;(Inputs!$C$12+Inputs!$C$13),A22&lt;=(Inputs!$C$12+Inputs!$C$13)+Inputs!$C$18),Inputs!$C$15*Inputs!$C$16,0)</f>
        <v/>
      </c>
      <c r="F22" s="15">
        <f>IF(AND(A22&gt;(Inputs!$C$12+Inputs!$C$13)+Inputs!$C$14,A22&lt;=(Inputs!$C$12+Inputs!$C$13)+Inputs!$C$14+Inputs!$C$18),Inputs!$C$15*Inputs!$C$16*Inputs!$C$17,0)</f>
        <v/>
      </c>
      <c r="G22" s="15">
        <f>F22*1000*Inputs!$C$7/1e6</f>
        <v/>
      </c>
      <c r="H22" s="15">
        <f>G22-B22-C22-D22</f>
        <v/>
      </c>
      <c r="I22" s="16">
        <f>1/(1+Inputs!$C$20)^A22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IF(A23&lt;=Inputs!$C$12,Inputs!$C$11/Inputs!$C$12,0)</f>
        <v/>
      </c>
      <c r="C23" s="15">
        <f>IF(A23=Inputs!$C$12,Inputs!$C$24,0)</f>
        <v/>
      </c>
      <c r="D23" s="15">
        <f>IF(AND(A23&gt;(Inputs!$C$12+Inputs!$C$13),A23&lt;=(Inputs!$C$12+Inputs!$C$13)+Inputs!$C$18),Inputs!$C$19,0)</f>
        <v/>
      </c>
      <c r="E23" s="15">
        <f>IF(AND(A23&gt;(Inputs!$C$12+Inputs!$C$13),A23&lt;=(Inputs!$C$12+Inputs!$C$13)+Inputs!$C$18),Inputs!$C$15*Inputs!$C$16,0)</f>
        <v/>
      </c>
      <c r="F23" s="15">
        <f>IF(AND(A23&gt;(Inputs!$C$12+Inputs!$C$13)+Inputs!$C$14,A23&lt;=(Inputs!$C$12+Inputs!$C$13)+Inputs!$C$14+Inputs!$C$18),Inputs!$C$15*Inputs!$C$16*Inputs!$C$17,0)</f>
        <v/>
      </c>
      <c r="G23" s="15">
        <f>F23*1000*Inputs!$C$7/1e6</f>
        <v/>
      </c>
      <c r="H23" s="15">
        <f>G23-B23-C23-D23</f>
        <v/>
      </c>
      <c r="I23" s="16">
        <f>1/(1+Inputs!$C$20)^A23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IF(A24&lt;=Inputs!$C$12,Inputs!$C$11/Inputs!$C$12,0)</f>
        <v/>
      </c>
      <c r="C24" s="15">
        <f>IF(A24=Inputs!$C$12,Inputs!$C$24,0)</f>
        <v/>
      </c>
      <c r="D24" s="15">
        <f>IF(AND(A24&gt;(Inputs!$C$12+Inputs!$C$13),A24&lt;=(Inputs!$C$12+Inputs!$C$13)+Inputs!$C$18),Inputs!$C$19,0)</f>
        <v/>
      </c>
      <c r="E24" s="15">
        <f>IF(AND(A24&gt;(Inputs!$C$12+Inputs!$C$13),A24&lt;=(Inputs!$C$12+Inputs!$C$13)+Inputs!$C$18),Inputs!$C$15*Inputs!$C$16,0)</f>
        <v/>
      </c>
      <c r="F24" s="15">
        <f>IF(AND(A24&gt;(Inputs!$C$12+Inputs!$C$13)+Inputs!$C$14,A24&lt;=(Inputs!$C$12+Inputs!$C$13)+Inputs!$C$14+Inputs!$C$18),Inputs!$C$15*Inputs!$C$16*Inputs!$C$17,0)</f>
        <v/>
      </c>
      <c r="G24" s="15">
        <f>F24*1000*Inputs!$C$7/1e6</f>
        <v/>
      </c>
      <c r="H24" s="15">
        <f>G24-B24-C24-D24</f>
        <v/>
      </c>
      <c r="I24" s="16">
        <f>1/(1+Inputs!$C$20)^A24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IF(A25&lt;=Inputs!$C$12,Inputs!$C$11/Inputs!$C$12,0)</f>
        <v/>
      </c>
      <c r="C25" s="15">
        <f>IF(A25=Inputs!$C$12,Inputs!$C$24,0)</f>
        <v/>
      </c>
      <c r="D25" s="15">
        <f>IF(AND(A25&gt;(Inputs!$C$12+Inputs!$C$13),A25&lt;=(Inputs!$C$12+Inputs!$C$13)+Inputs!$C$18),Inputs!$C$19,0)</f>
        <v/>
      </c>
      <c r="E25" s="15">
        <f>IF(AND(A25&gt;(Inputs!$C$12+Inputs!$C$13),A25&lt;=(Inputs!$C$12+Inputs!$C$13)+Inputs!$C$18),Inputs!$C$15*Inputs!$C$16,0)</f>
        <v/>
      </c>
      <c r="F25" s="15">
        <f>IF(AND(A25&gt;(Inputs!$C$12+Inputs!$C$13)+Inputs!$C$14,A25&lt;=(Inputs!$C$12+Inputs!$C$13)+Inputs!$C$14+Inputs!$C$18),Inputs!$C$15*Inputs!$C$16*Inputs!$C$17,0)</f>
        <v/>
      </c>
      <c r="G25" s="15">
        <f>F25*1000*Inputs!$C$7/1e6</f>
        <v/>
      </c>
      <c r="H25" s="15">
        <f>G25-B25-C25-D25</f>
        <v/>
      </c>
      <c r="I25" s="16">
        <f>1/(1+Inputs!$C$20)^A25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IF(A26&lt;=Inputs!$C$12,Inputs!$C$11/Inputs!$C$12,0)</f>
        <v/>
      </c>
      <c r="C26" s="15">
        <f>IF(A26=Inputs!$C$12,Inputs!$C$24,0)</f>
        <v/>
      </c>
      <c r="D26" s="15">
        <f>IF(AND(A26&gt;(Inputs!$C$12+Inputs!$C$13),A26&lt;=(Inputs!$C$12+Inputs!$C$13)+Inputs!$C$18),Inputs!$C$19,0)</f>
        <v/>
      </c>
      <c r="E26" s="15">
        <f>IF(AND(A26&gt;(Inputs!$C$12+Inputs!$C$13),A26&lt;=(Inputs!$C$12+Inputs!$C$13)+Inputs!$C$18),Inputs!$C$15*Inputs!$C$16,0)</f>
        <v/>
      </c>
      <c r="F26" s="15">
        <f>IF(AND(A26&gt;(Inputs!$C$12+Inputs!$C$13)+Inputs!$C$14,A26&lt;=(Inputs!$C$12+Inputs!$C$13)+Inputs!$C$14+Inputs!$C$18),Inputs!$C$15*Inputs!$C$16*Inputs!$C$17,0)</f>
        <v/>
      </c>
      <c r="G26" s="15">
        <f>F26*1000*Inputs!$C$7/1e6</f>
        <v/>
      </c>
      <c r="H26" s="15">
        <f>G26-B26-C26-D26</f>
        <v/>
      </c>
      <c r="I26" s="16">
        <f>1/(1+Inputs!$C$20)^A26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IF(A27&lt;=Inputs!$C$12,Inputs!$C$11/Inputs!$C$12,0)</f>
        <v/>
      </c>
      <c r="C27" s="15">
        <f>IF(A27=Inputs!$C$12,Inputs!$C$24,0)</f>
        <v/>
      </c>
      <c r="D27" s="15">
        <f>IF(AND(A27&gt;(Inputs!$C$12+Inputs!$C$13),A27&lt;=(Inputs!$C$12+Inputs!$C$13)+Inputs!$C$18),Inputs!$C$19,0)</f>
        <v/>
      </c>
      <c r="E27" s="15">
        <f>IF(AND(A27&gt;(Inputs!$C$12+Inputs!$C$13),A27&lt;=(Inputs!$C$12+Inputs!$C$13)+Inputs!$C$18),Inputs!$C$15*Inputs!$C$16,0)</f>
        <v/>
      </c>
      <c r="F27" s="15">
        <f>IF(AND(A27&gt;(Inputs!$C$12+Inputs!$C$13)+Inputs!$C$14,A27&lt;=(Inputs!$C$12+Inputs!$C$13)+Inputs!$C$14+Inputs!$C$18),Inputs!$C$15*Inputs!$C$16*Inputs!$C$17,0)</f>
        <v/>
      </c>
      <c r="G27" s="15">
        <f>F27*1000*Inputs!$C$7/1e6</f>
        <v/>
      </c>
      <c r="H27" s="15">
        <f>G27-B27-C27-D27</f>
        <v/>
      </c>
      <c r="I27" s="16">
        <f>1/(1+Inputs!$C$20)^A27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IF(A28&lt;=Inputs!$C$12,Inputs!$C$11/Inputs!$C$12,0)</f>
        <v/>
      </c>
      <c r="C28" s="15">
        <f>IF(A28=Inputs!$C$12,Inputs!$C$24,0)</f>
        <v/>
      </c>
      <c r="D28" s="15">
        <f>IF(AND(A28&gt;(Inputs!$C$12+Inputs!$C$13),A28&lt;=(Inputs!$C$12+Inputs!$C$13)+Inputs!$C$18),Inputs!$C$19,0)</f>
        <v/>
      </c>
      <c r="E28" s="15">
        <f>IF(AND(A28&gt;(Inputs!$C$12+Inputs!$C$13),A28&lt;=(Inputs!$C$12+Inputs!$C$13)+Inputs!$C$18),Inputs!$C$15*Inputs!$C$16,0)</f>
        <v/>
      </c>
      <c r="F28" s="15">
        <f>IF(AND(A28&gt;(Inputs!$C$12+Inputs!$C$13)+Inputs!$C$14,A28&lt;=(Inputs!$C$12+Inputs!$C$13)+Inputs!$C$14+Inputs!$C$18),Inputs!$C$15*Inputs!$C$16*Inputs!$C$17,0)</f>
        <v/>
      </c>
      <c r="G28" s="15">
        <f>F28*1000*Inputs!$C$7/1e6</f>
        <v/>
      </c>
      <c r="H28" s="15">
        <f>G28-B28-C28-D28</f>
        <v/>
      </c>
      <c r="I28" s="16">
        <f>1/(1+Inputs!$C$20)^A28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IF(A29&lt;=Inputs!$C$12,Inputs!$C$11/Inputs!$C$12,0)</f>
        <v/>
      </c>
      <c r="C29" s="15">
        <f>IF(A29=Inputs!$C$12,Inputs!$C$24,0)</f>
        <v/>
      </c>
      <c r="D29" s="15">
        <f>IF(AND(A29&gt;(Inputs!$C$12+Inputs!$C$13),A29&lt;=(Inputs!$C$12+Inputs!$C$13)+Inputs!$C$18),Inputs!$C$19,0)</f>
        <v/>
      </c>
      <c r="E29" s="15">
        <f>IF(AND(A29&gt;(Inputs!$C$12+Inputs!$C$13),A29&lt;=(Inputs!$C$12+Inputs!$C$13)+Inputs!$C$18),Inputs!$C$15*Inputs!$C$16,0)</f>
        <v/>
      </c>
      <c r="F29" s="15">
        <f>IF(AND(A29&gt;(Inputs!$C$12+Inputs!$C$13)+Inputs!$C$14,A29&lt;=(Inputs!$C$12+Inputs!$C$13)+Inputs!$C$14+Inputs!$C$18),Inputs!$C$15*Inputs!$C$16*Inputs!$C$17,0)</f>
        <v/>
      </c>
      <c r="G29" s="15">
        <f>F29*1000*Inputs!$C$7/1e6</f>
        <v/>
      </c>
      <c r="H29" s="15">
        <f>G29-B29-C29-D29</f>
        <v/>
      </c>
      <c r="I29" s="16">
        <f>1/(1+Inputs!$C$20)^A29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IF(A30&lt;=Inputs!$C$12,Inputs!$C$11/Inputs!$C$12,0)</f>
        <v/>
      </c>
      <c r="C30" s="15">
        <f>IF(A30=Inputs!$C$12,Inputs!$C$24,0)</f>
        <v/>
      </c>
      <c r="D30" s="15">
        <f>IF(AND(A30&gt;(Inputs!$C$12+Inputs!$C$13),A30&lt;=(Inputs!$C$12+Inputs!$C$13)+Inputs!$C$18),Inputs!$C$19,0)</f>
        <v/>
      </c>
      <c r="E30" s="15">
        <f>IF(AND(A30&gt;(Inputs!$C$12+Inputs!$C$13),A30&lt;=(Inputs!$C$12+Inputs!$C$13)+Inputs!$C$18),Inputs!$C$15*Inputs!$C$16,0)</f>
        <v/>
      </c>
      <c r="F30" s="15">
        <f>IF(AND(A30&gt;(Inputs!$C$12+Inputs!$C$13)+Inputs!$C$14,A30&lt;=(Inputs!$C$12+Inputs!$C$13)+Inputs!$C$14+Inputs!$C$18),Inputs!$C$15*Inputs!$C$16*Inputs!$C$17,0)</f>
        <v/>
      </c>
      <c r="G30" s="15">
        <f>F30*1000*Inputs!$C$7/1e6</f>
        <v/>
      </c>
      <c r="H30" s="15">
        <f>G30-B30-C30-D30</f>
        <v/>
      </c>
      <c r="I30" s="16">
        <f>1/(1+Inputs!$C$20)^A30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IF(A31&lt;=Inputs!$C$12,Inputs!$C$11/Inputs!$C$12,0)</f>
        <v/>
      </c>
      <c r="C31" s="15">
        <f>IF(A31=Inputs!$C$12,Inputs!$C$24,0)</f>
        <v/>
      </c>
      <c r="D31" s="15">
        <f>IF(AND(A31&gt;(Inputs!$C$12+Inputs!$C$13),A31&lt;=(Inputs!$C$12+Inputs!$C$13)+Inputs!$C$18),Inputs!$C$19,0)</f>
        <v/>
      </c>
      <c r="E31" s="15">
        <f>IF(AND(A31&gt;(Inputs!$C$12+Inputs!$C$13),A31&lt;=(Inputs!$C$12+Inputs!$C$13)+Inputs!$C$18),Inputs!$C$15*Inputs!$C$16,0)</f>
        <v/>
      </c>
      <c r="F31" s="15">
        <f>IF(AND(A31&gt;(Inputs!$C$12+Inputs!$C$13)+Inputs!$C$14,A31&lt;=(Inputs!$C$12+Inputs!$C$13)+Inputs!$C$14+Inputs!$C$18),Inputs!$C$15*Inputs!$C$16*Inputs!$C$17,0)</f>
        <v/>
      </c>
      <c r="G31" s="15">
        <f>F31*1000*Inputs!$C$7/1e6</f>
        <v/>
      </c>
      <c r="H31" s="15">
        <f>G31-B31-C31-D31</f>
        <v/>
      </c>
      <c r="I31" s="16">
        <f>1/(1+Inputs!$C$20)^A31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IF(A32&lt;=Inputs!$C$12,Inputs!$C$11/Inputs!$C$12,0)</f>
        <v/>
      </c>
      <c r="C32" s="15">
        <f>IF(A32=Inputs!$C$12,Inputs!$C$24,0)</f>
        <v/>
      </c>
      <c r="D32" s="15">
        <f>IF(AND(A32&gt;(Inputs!$C$12+Inputs!$C$13),A32&lt;=(Inputs!$C$12+Inputs!$C$13)+Inputs!$C$18),Inputs!$C$19,0)</f>
        <v/>
      </c>
      <c r="E32" s="15">
        <f>IF(AND(A32&gt;(Inputs!$C$12+Inputs!$C$13),A32&lt;=(Inputs!$C$12+Inputs!$C$13)+Inputs!$C$18),Inputs!$C$15*Inputs!$C$16,0)</f>
        <v/>
      </c>
      <c r="F32" s="15">
        <f>IF(AND(A32&gt;(Inputs!$C$12+Inputs!$C$13)+Inputs!$C$14,A32&lt;=(Inputs!$C$12+Inputs!$C$13)+Inputs!$C$14+Inputs!$C$18),Inputs!$C$15*Inputs!$C$16*Inputs!$C$17,0)</f>
        <v/>
      </c>
      <c r="G32" s="15">
        <f>F32*1000*Inputs!$C$7/1e6</f>
        <v/>
      </c>
      <c r="H32" s="15">
        <f>G32-B32-C32-D32</f>
        <v/>
      </c>
      <c r="I32" s="16">
        <f>1/(1+Inputs!$C$20)^A32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IF(A33&lt;=Inputs!$C$12,Inputs!$C$11/Inputs!$C$12,0)</f>
        <v/>
      </c>
      <c r="C33" s="15">
        <f>IF(A33=Inputs!$C$12,Inputs!$C$24,0)</f>
        <v/>
      </c>
      <c r="D33" s="15">
        <f>IF(AND(A33&gt;(Inputs!$C$12+Inputs!$C$13),A33&lt;=(Inputs!$C$12+Inputs!$C$13)+Inputs!$C$18),Inputs!$C$19,0)</f>
        <v/>
      </c>
      <c r="E33" s="15">
        <f>IF(AND(A33&gt;(Inputs!$C$12+Inputs!$C$13),A33&lt;=(Inputs!$C$12+Inputs!$C$13)+Inputs!$C$18),Inputs!$C$15*Inputs!$C$16,0)</f>
        <v/>
      </c>
      <c r="F33" s="15">
        <f>IF(AND(A33&gt;(Inputs!$C$12+Inputs!$C$13)+Inputs!$C$14,A33&lt;=(Inputs!$C$12+Inputs!$C$13)+Inputs!$C$14+Inputs!$C$18),Inputs!$C$15*Inputs!$C$16*Inputs!$C$17,0)</f>
        <v/>
      </c>
      <c r="G33" s="15">
        <f>F33*1000*Inputs!$C$7/1e6</f>
        <v/>
      </c>
      <c r="H33" s="15">
        <f>G33-B33-C33-D33</f>
        <v/>
      </c>
      <c r="I33" s="16">
        <f>1/(1+Inputs!$C$20)^A33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IF(A34&lt;=Inputs!$C$12,Inputs!$C$11/Inputs!$C$12,0)</f>
        <v/>
      </c>
      <c r="C34" s="15">
        <f>IF(A34=Inputs!$C$12,Inputs!$C$24,0)</f>
        <v/>
      </c>
      <c r="D34" s="15">
        <f>IF(AND(A34&gt;(Inputs!$C$12+Inputs!$C$13),A34&lt;=(Inputs!$C$12+Inputs!$C$13)+Inputs!$C$18),Inputs!$C$19,0)</f>
        <v/>
      </c>
      <c r="E34" s="15">
        <f>IF(AND(A34&gt;(Inputs!$C$12+Inputs!$C$13),A34&lt;=(Inputs!$C$12+Inputs!$C$13)+Inputs!$C$18),Inputs!$C$15*Inputs!$C$16,0)</f>
        <v/>
      </c>
      <c r="F34" s="15">
        <f>IF(AND(A34&gt;(Inputs!$C$12+Inputs!$C$13)+Inputs!$C$14,A34&lt;=(Inputs!$C$12+Inputs!$C$13)+Inputs!$C$14+Inputs!$C$18),Inputs!$C$15*Inputs!$C$16*Inputs!$C$17,0)</f>
        <v/>
      </c>
      <c r="G34" s="15">
        <f>F34*1000*Inputs!$C$7/1e6</f>
        <v/>
      </c>
      <c r="H34" s="15">
        <f>G34-B34-C34-D34</f>
        <v/>
      </c>
      <c r="I34" s="16">
        <f>1/(1+Inputs!$C$20)^A34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IF(A35&lt;=Inputs!$C$12,Inputs!$C$11/Inputs!$C$12,0)</f>
        <v/>
      </c>
      <c r="C35" s="15">
        <f>IF(A35=Inputs!$C$12,Inputs!$C$24,0)</f>
        <v/>
      </c>
      <c r="D35" s="15">
        <f>IF(AND(A35&gt;(Inputs!$C$12+Inputs!$C$13),A35&lt;=(Inputs!$C$12+Inputs!$C$13)+Inputs!$C$18),Inputs!$C$19,0)</f>
        <v/>
      </c>
      <c r="E35" s="15">
        <f>IF(AND(A35&gt;(Inputs!$C$12+Inputs!$C$13),A35&lt;=(Inputs!$C$12+Inputs!$C$13)+Inputs!$C$18),Inputs!$C$15*Inputs!$C$16,0)</f>
        <v/>
      </c>
      <c r="F35" s="15">
        <f>IF(AND(A35&gt;(Inputs!$C$12+Inputs!$C$13)+Inputs!$C$14,A35&lt;=(Inputs!$C$12+Inputs!$C$13)+Inputs!$C$14+Inputs!$C$18),Inputs!$C$15*Inputs!$C$16*Inputs!$C$17,0)</f>
        <v/>
      </c>
      <c r="G35" s="15">
        <f>F35*1000*Inputs!$C$7/1e6</f>
        <v/>
      </c>
      <c r="H35" s="15">
        <f>G35-B35-C35-D35</f>
        <v/>
      </c>
      <c r="I35" s="16">
        <f>1/(1+Inputs!$C$20)^A35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IF(A36&lt;=Inputs!$C$12,Inputs!$C$11/Inputs!$C$12,0)</f>
        <v/>
      </c>
      <c r="C36" s="15">
        <f>IF(A36=Inputs!$C$12,Inputs!$C$24,0)</f>
        <v/>
      </c>
      <c r="D36" s="15">
        <f>IF(AND(A36&gt;(Inputs!$C$12+Inputs!$C$13),A36&lt;=(Inputs!$C$12+Inputs!$C$13)+Inputs!$C$18),Inputs!$C$19,0)</f>
        <v/>
      </c>
      <c r="E36" s="15">
        <f>IF(AND(A36&gt;(Inputs!$C$12+Inputs!$C$13),A36&lt;=(Inputs!$C$12+Inputs!$C$13)+Inputs!$C$18),Inputs!$C$15*Inputs!$C$16,0)</f>
        <v/>
      </c>
      <c r="F36" s="15">
        <f>IF(AND(A36&gt;(Inputs!$C$12+Inputs!$C$13)+Inputs!$C$14,A36&lt;=(Inputs!$C$12+Inputs!$C$13)+Inputs!$C$14+Inputs!$C$18),Inputs!$C$15*Inputs!$C$16*Inputs!$C$17,0)</f>
        <v/>
      </c>
      <c r="G36" s="15">
        <f>F36*1000*Inputs!$C$7/1e6</f>
        <v/>
      </c>
      <c r="H36" s="15">
        <f>G36-B36-C36-D36</f>
        <v/>
      </c>
      <c r="I36" s="16">
        <f>1/(1+Inputs!$C$20)^A36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IF(A37&lt;=Inputs!$C$12,Inputs!$C$11/Inputs!$C$12,0)</f>
        <v/>
      </c>
      <c r="C37" s="15">
        <f>IF(A37=Inputs!$C$12,Inputs!$C$24,0)</f>
        <v/>
      </c>
      <c r="D37" s="15">
        <f>IF(AND(A37&gt;(Inputs!$C$12+Inputs!$C$13),A37&lt;=(Inputs!$C$12+Inputs!$C$13)+Inputs!$C$18),Inputs!$C$19,0)</f>
        <v/>
      </c>
      <c r="E37" s="15">
        <f>IF(AND(A37&gt;(Inputs!$C$12+Inputs!$C$13),A37&lt;=(Inputs!$C$12+Inputs!$C$13)+Inputs!$C$18),Inputs!$C$15*Inputs!$C$16,0)</f>
        <v/>
      </c>
      <c r="F37" s="15">
        <f>IF(AND(A37&gt;(Inputs!$C$12+Inputs!$C$13)+Inputs!$C$14,A37&lt;=(Inputs!$C$12+Inputs!$C$13)+Inputs!$C$14+Inputs!$C$18),Inputs!$C$15*Inputs!$C$16*Inputs!$C$17,0)</f>
        <v/>
      </c>
      <c r="G37" s="15">
        <f>F37*1000*Inputs!$C$7/1e6</f>
        <v/>
      </c>
      <c r="H37" s="15">
        <f>G37-B37-C37-D37</f>
        <v/>
      </c>
      <c r="I37" s="16">
        <f>1/(1+Inputs!$C$20)^A37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IF(A38&lt;=Inputs!$C$12,Inputs!$C$11/Inputs!$C$12,0)</f>
        <v/>
      </c>
      <c r="C38" s="15">
        <f>IF(A38=Inputs!$C$12,Inputs!$C$24,0)</f>
        <v/>
      </c>
      <c r="D38" s="15">
        <f>IF(AND(A38&gt;(Inputs!$C$12+Inputs!$C$13),A38&lt;=(Inputs!$C$12+Inputs!$C$13)+Inputs!$C$18),Inputs!$C$19,0)</f>
        <v/>
      </c>
      <c r="E38" s="15">
        <f>IF(AND(A38&gt;(Inputs!$C$12+Inputs!$C$13),A38&lt;=(Inputs!$C$12+Inputs!$C$13)+Inputs!$C$18),Inputs!$C$15*Inputs!$C$16,0)</f>
        <v/>
      </c>
      <c r="F38" s="15">
        <f>IF(AND(A38&gt;(Inputs!$C$12+Inputs!$C$13)+Inputs!$C$14,A38&lt;=(Inputs!$C$12+Inputs!$C$13)+Inputs!$C$14+Inputs!$C$18),Inputs!$C$15*Inputs!$C$16*Inputs!$C$17,0)</f>
        <v/>
      </c>
      <c r="G38" s="15">
        <f>F38*1000*Inputs!$C$7/1e6</f>
        <v/>
      </c>
      <c r="H38" s="15">
        <f>G38-B38-C38-D38</f>
        <v/>
      </c>
      <c r="I38" s="16">
        <f>1/(1+Inputs!$C$20)^A38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IF(A39&lt;=Inputs!$C$12,Inputs!$C$11/Inputs!$C$12,0)</f>
        <v/>
      </c>
      <c r="C39" s="15">
        <f>IF(A39=Inputs!$C$12,Inputs!$C$24,0)</f>
        <v/>
      </c>
      <c r="D39" s="15">
        <f>IF(AND(A39&gt;(Inputs!$C$12+Inputs!$C$13),A39&lt;=(Inputs!$C$12+Inputs!$C$13)+Inputs!$C$18),Inputs!$C$19,0)</f>
        <v/>
      </c>
      <c r="E39" s="15">
        <f>IF(AND(A39&gt;(Inputs!$C$12+Inputs!$C$13),A39&lt;=(Inputs!$C$12+Inputs!$C$13)+Inputs!$C$18),Inputs!$C$15*Inputs!$C$16,0)</f>
        <v/>
      </c>
      <c r="F39" s="15">
        <f>IF(AND(A39&gt;(Inputs!$C$12+Inputs!$C$13)+Inputs!$C$14,A39&lt;=(Inputs!$C$12+Inputs!$C$13)+Inputs!$C$14+Inputs!$C$18),Inputs!$C$15*Inputs!$C$16*Inputs!$C$17,0)</f>
        <v/>
      </c>
      <c r="G39" s="15">
        <f>F39*1000*Inputs!$C$7/1e6</f>
        <v/>
      </c>
      <c r="H39" s="15">
        <f>G39-B39-C39-D39</f>
        <v/>
      </c>
      <c r="I39" s="16">
        <f>1/(1+Inputs!$C$20)^A39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IF(A40&lt;=Inputs!$C$12,Inputs!$C$11/Inputs!$C$12,0)</f>
        <v/>
      </c>
      <c r="C40" s="15">
        <f>IF(A40=Inputs!$C$12,Inputs!$C$24,0)</f>
        <v/>
      </c>
      <c r="D40" s="15">
        <f>IF(AND(A40&gt;(Inputs!$C$12+Inputs!$C$13),A40&lt;=(Inputs!$C$12+Inputs!$C$13)+Inputs!$C$18),Inputs!$C$19,0)</f>
        <v/>
      </c>
      <c r="E40" s="15">
        <f>IF(AND(A40&gt;(Inputs!$C$12+Inputs!$C$13),A40&lt;=(Inputs!$C$12+Inputs!$C$13)+Inputs!$C$18),Inputs!$C$15*Inputs!$C$16,0)</f>
        <v/>
      </c>
      <c r="F40" s="15">
        <f>IF(AND(A40&gt;(Inputs!$C$12+Inputs!$C$13)+Inputs!$C$14,A40&lt;=(Inputs!$C$12+Inputs!$C$13)+Inputs!$C$14+Inputs!$C$18),Inputs!$C$15*Inputs!$C$16*Inputs!$C$17,0)</f>
        <v/>
      </c>
      <c r="G40" s="15">
        <f>F40*1000*Inputs!$C$7/1e6</f>
        <v/>
      </c>
      <c r="H40" s="15">
        <f>G40-B40-C40-D40</f>
        <v/>
      </c>
      <c r="I40" s="16">
        <f>1/(1+Inputs!$C$20)^A40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IF(A41&lt;=Inputs!$C$12,Inputs!$C$11/Inputs!$C$12,0)</f>
        <v/>
      </c>
      <c r="C41" s="15">
        <f>IF(A41=Inputs!$C$12,Inputs!$C$24,0)</f>
        <v/>
      </c>
      <c r="D41" s="15">
        <f>IF(AND(A41&gt;(Inputs!$C$12+Inputs!$C$13),A41&lt;=(Inputs!$C$12+Inputs!$C$13)+Inputs!$C$18),Inputs!$C$19,0)</f>
        <v/>
      </c>
      <c r="E41" s="15">
        <f>IF(AND(A41&gt;(Inputs!$C$12+Inputs!$C$13),A41&lt;=(Inputs!$C$12+Inputs!$C$13)+Inputs!$C$18),Inputs!$C$15*Inputs!$C$16,0)</f>
        <v/>
      </c>
      <c r="F41" s="15">
        <f>IF(AND(A41&gt;(Inputs!$C$12+Inputs!$C$13)+Inputs!$C$14,A41&lt;=(Inputs!$C$12+Inputs!$C$13)+Inputs!$C$14+Inputs!$C$18),Inputs!$C$15*Inputs!$C$16*Inputs!$C$17,0)</f>
        <v/>
      </c>
      <c r="G41" s="15">
        <f>F41*1000*Inputs!$C$7/1e6</f>
        <v/>
      </c>
      <c r="H41" s="15">
        <f>G41-B41-C41-D41</f>
        <v/>
      </c>
      <c r="I41" s="16">
        <f>1/(1+Inputs!$C$20)^A41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IF(A42&lt;=Inputs!$C$12,Inputs!$C$11/Inputs!$C$12,0)</f>
        <v/>
      </c>
      <c r="C42" s="15">
        <f>IF(A42=Inputs!$C$12,Inputs!$C$24,0)</f>
        <v/>
      </c>
      <c r="D42" s="15">
        <f>IF(AND(A42&gt;(Inputs!$C$12+Inputs!$C$13),A42&lt;=(Inputs!$C$12+Inputs!$C$13)+Inputs!$C$18),Inputs!$C$19,0)</f>
        <v/>
      </c>
      <c r="E42" s="15">
        <f>IF(AND(A42&gt;(Inputs!$C$12+Inputs!$C$13),A42&lt;=(Inputs!$C$12+Inputs!$C$13)+Inputs!$C$18),Inputs!$C$15*Inputs!$C$16,0)</f>
        <v/>
      </c>
      <c r="F42" s="15">
        <f>IF(AND(A42&gt;(Inputs!$C$12+Inputs!$C$13)+Inputs!$C$14,A42&lt;=(Inputs!$C$12+Inputs!$C$13)+Inputs!$C$14+Inputs!$C$18),Inputs!$C$15*Inputs!$C$16*Inputs!$C$17,0)</f>
        <v/>
      </c>
      <c r="G42" s="15">
        <f>F42*1000*Inputs!$C$7/1e6</f>
        <v/>
      </c>
      <c r="H42" s="15">
        <f>G42-B42-C42-D42</f>
        <v/>
      </c>
      <c r="I42" s="16">
        <f>1/(1+Inputs!$C$20)^A42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IF(A43&lt;=Inputs!$C$12,Inputs!$C$11/Inputs!$C$12,0)</f>
        <v/>
      </c>
      <c r="C43" s="15">
        <f>IF(A43=Inputs!$C$12,Inputs!$C$24,0)</f>
        <v/>
      </c>
      <c r="D43" s="15">
        <f>IF(AND(A43&gt;(Inputs!$C$12+Inputs!$C$13),A43&lt;=(Inputs!$C$12+Inputs!$C$13)+Inputs!$C$18),Inputs!$C$19,0)</f>
        <v/>
      </c>
      <c r="E43" s="15">
        <f>IF(AND(A43&gt;(Inputs!$C$12+Inputs!$C$13),A43&lt;=(Inputs!$C$12+Inputs!$C$13)+Inputs!$C$18),Inputs!$C$15*Inputs!$C$16,0)</f>
        <v/>
      </c>
      <c r="F43" s="15">
        <f>IF(AND(A43&gt;(Inputs!$C$12+Inputs!$C$13)+Inputs!$C$14,A43&lt;=(Inputs!$C$12+Inputs!$C$13)+Inputs!$C$14+Inputs!$C$18),Inputs!$C$15*Inputs!$C$16*Inputs!$C$17,0)</f>
        <v/>
      </c>
      <c r="G43" s="15">
        <f>F43*1000*Inputs!$C$7/1e6</f>
        <v/>
      </c>
      <c r="H43" s="15">
        <f>G43-B43-C43-D43</f>
        <v/>
      </c>
      <c r="I43" s="16">
        <f>1/(1+Inputs!$C$20)^A43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IF(A44&lt;=Inputs!$C$12,Inputs!$C$11/Inputs!$C$12,0)</f>
        <v/>
      </c>
      <c r="C44" s="15">
        <f>IF(A44=Inputs!$C$12,Inputs!$C$24,0)</f>
        <v/>
      </c>
      <c r="D44" s="15">
        <f>IF(AND(A44&gt;(Inputs!$C$12+Inputs!$C$13),A44&lt;=(Inputs!$C$12+Inputs!$C$13)+Inputs!$C$18),Inputs!$C$19,0)</f>
        <v/>
      </c>
      <c r="E44" s="15">
        <f>IF(AND(A44&gt;(Inputs!$C$12+Inputs!$C$13),A44&lt;=(Inputs!$C$12+Inputs!$C$13)+Inputs!$C$18),Inputs!$C$15*Inputs!$C$16,0)</f>
        <v/>
      </c>
      <c r="F44" s="15">
        <f>IF(AND(A44&gt;(Inputs!$C$12+Inputs!$C$13)+Inputs!$C$14,A44&lt;=(Inputs!$C$12+Inputs!$C$13)+Inputs!$C$14+Inputs!$C$18),Inputs!$C$15*Inputs!$C$16*Inputs!$C$17,0)</f>
        <v/>
      </c>
      <c r="G44" s="15">
        <f>F44*1000*Inputs!$C$7/1e6</f>
        <v/>
      </c>
      <c r="H44" s="15">
        <f>G44-B44-C44-D44</f>
        <v/>
      </c>
      <c r="I44" s="16">
        <f>1/(1+Inputs!$C$20)^A44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IF(A45&lt;=Inputs!$C$12,Inputs!$C$11/Inputs!$C$12,0)</f>
        <v/>
      </c>
      <c r="C45" s="15">
        <f>IF(A45=Inputs!$C$12,Inputs!$C$24,0)</f>
        <v/>
      </c>
      <c r="D45" s="15">
        <f>IF(AND(A45&gt;(Inputs!$C$12+Inputs!$C$13),A45&lt;=(Inputs!$C$12+Inputs!$C$13)+Inputs!$C$18),Inputs!$C$19,0)</f>
        <v/>
      </c>
      <c r="E45" s="15">
        <f>IF(AND(A45&gt;(Inputs!$C$12+Inputs!$C$13),A45&lt;=(Inputs!$C$12+Inputs!$C$13)+Inputs!$C$18),Inputs!$C$15*Inputs!$C$16,0)</f>
        <v/>
      </c>
      <c r="F45" s="15">
        <f>IF(AND(A45&gt;(Inputs!$C$12+Inputs!$C$13)+Inputs!$C$14,A45&lt;=(Inputs!$C$12+Inputs!$C$13)+Inputs!$C$14+Inputs!$C$18),Inputs!$C$15*Inputs!$C$16*Inputs!$C$17,0)</f>
        <v/>
      </c>
      <c r="G45" s="15">
        <f>F45*1000*Inputs!$C$7/1e6</f>
        <v/>
      </c>
      <c r="H45" s="15">
        <f>G45-B45-C45-D45</f>
        <v/>
      </c>
      <c r="I45" s="16">
        <f>1/(1+Inputs!$C$20)^A45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-B48+Inputs!$C$21*B49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IFERROR(B53/Inputs!$C$6,"n/a")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Base scenario — annual cash flow (illustrative)</t>
        </is>
      </c>
    </row>
    <row r="2">
      <c r="A2" s="2" t="inlineStr">
        <is>
          <t>All values driven by Inputs!D. US$ millions unless stated. SCENARIO OUTPUT, NOT A FORECAST.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IF(A6&lt;=Inputs!$D$12,Inputs!$D$11/Inputs!$D$12,0)</f>
        <v/>
      </c>
      <c r="C6" s="15">
        <f>IF(A6=Inputs!$D$12,Inputs!$D$24,0)</f>
        <v/>
      </c>
      <c r="D6" s="15">
        <f>IF(AND(A6&gt;(Inputs!$D$12+Inputs!$D$13),A6&lt;=(Inputs!$D$12+Inputs!$D$13)+Inputs!$D$18),Inputs!$D$19,0)</f>
        <v/>
      </c>
      <c r="E6" s="15">
        <f>IF(AND(A6&gt;(Inputs!$D$12+Inputs!$D$13),A6&lt;=(Inputs!$D$12+Inputs!$D$13)+Inputs!$D$18),Inputs!$D$15*Inputs!$D$16,0)</f>
        <v/>
      </c>
      <c r="F6" s="15">
        <f>IF(AND(A6&gt;(Inputs!$D$12+Inputs!$D$13)+Inputs!$D$14,A6&lt;=(Inputs!$D$12+Inputs!$D$13)+Inputs!$D$14+Inputs!$D$18),Inputs!$D$15*Inputs!$D$16*Inputs!$D$17,0)</f>
        <v/>
      </c>
      <c r="G6" s="15">
        <f>F6*1000*Inputs!$D$7/1e6</f>
        <v/>
      </c>
      <c r="H6" s="15">
        <f>G6-B6-C6-D6</f>
        <v/>
      </c>
      <c r="I6" s="16">
        <f>1/(1+Inputs!$D$20)^A6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IF(A7&lt;=Inputs!$D$12,Inputs!$D$11/Inputs!$D$12,0)</f>
        <v/>
      </c>
      <c r="C7" s="15">
        <f>IF(A7=Inputs!$D$12,Inputs!$D$24,0)</f>
        <v/>
      </c>
      <c r="D7" s="15">
        <f>IF(AND(A7&gt;(Inputs!$D$12+Inputs!$D$13),A7&lt;=(Inputs!$D$12+Inputs!$D$13)+Inputs!$D$18),Inputs!$D$19,0)</f>
        <v/>
      </c>
      <c r="E7" s="15">
        <f>IF(AND(A7&gt;(Inputs!$D$12+Inputs!$D$13),A7&lt;=(Inputs!$D$12+Inputs!$D$13)+Inputs!$D$18),Inputs!$D$15*Inputs!$D$16,0)</f>
        <v/>
      </c>
      <c r="F7" s="15">
        <f>IF(AND(A7&gt;(Inputs!$D$12+Inputs!$D$13)+Inputs!$D$14,A7&lt;=(Inputs!$D$12+Inputs!$D$13)+Inputs!$D$14+Inputs!$D$18),Inputs!$D$15*Inputs!$D$16*Inputs!$D$17,0)</f>
        <v/>
      </c>
      <c r="G7" s="15">
        <f>F7*1000*Inputs!$D$7/1e6</f>
        <v/>
      </c>
      <c r="H7" s="15">
        <f>G7-B7-C7-D7</f>
        <v/>
      </c>
      <c r="I7" s="16">
        <f>1/(1+Inputs!$D$20)^A7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IF(A8&lt;=Inputs!$D$12,Inputs!$D$11/Inputs!$D$12,0)</f>
        <v/>
      </c>
      <c r="C8" s="15">
        <f>IF(A8=Inputs!$D$12,Inputs!$D$24,0)</f>
        <v/>
      </c>
      <c r="D8" s="15">
        <f>IF(AND(A8&gt;(Inputs!$D$12+Inputs!$D$13),A8&lt;=(Inputs!$D$12+Inputs!$D$13)+Inputs!$D$18),Inputs!$D$19,0)</f>
        <v/>
      </c>
      <c r="E8" s="15">
        <f>IF(AND(A8&gt;(Inputs!$D$12+Inputs!$D$13),A8&lt;=(Inputs!$D$12+Inputs!$D$13)+Inputs!$D$18),Inputs!$D$15*Inputs!$D$16,0)</f>
        <v/>
      </c>
      <c r="F8" s="15">
        <f>IF(AND(A8&gt;(Inputs!$D$12+Inputs!$D$13)+Inputs!$D$14,A8&lt;=(Inputs!$D$12+Inputs!$D$13)+Inputs!$D$14+Inputs!$D$18),Inputs!$D$15*Inputs!$D$16*Inputs!$D$17,0)</f>
        <v/>
      </c>
      <c r="G8" s="15">
        <f>F8*1000*Inputs!$D$7/1e6</f>
        <v/>
      </c>
      <c r="H8" s="15">
        <f>G8-B8-C8-D8</f>
        <v/>
      </c>
      <c r="I8" s="16">
        <f>1/(1+Inputs!$D$20)^A8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IF(A9&lt;=Inputs!$D$12,Inputs!$D$11/Inputs!$D$12,0)</f>
        <v/>
      </c>
      <c r="C9" s="15">
        <f>IF(A9=Inputs!$D$12,Inputs!$D$24,0)</f>
        <v/>
      </c>
      <c r="D9" s="15">
        <f>IF(AND(A9&gt;(Inputs!$D$12+Inputs!$D$13),A9&lt;=(Inputs!$D$12+Inputs!$D$13)+Inputs!$D$18),Inputs!$D$19,0)</f>
        <v/>
      </c>
      <c r="E9" s="15">
        <f>IF(AND(A9&gt;(Inputs!$D$12+Inputs!$D$13),A9&lt;=(Inputs!$D$12+Inputs!$D$13)+Inputs!$D$18),Inputs!$D$15*Inputs!$D$16,0)</f>
        <v/>
      </c>
      <c r="F9" s="15">
        <f>IF(AND(A9&gt;(Inputs!$D$12+Inputs!$D$13)+Inputs!$D$14,A9&lt;=(Inputs!$D$12+Inputs!$D$13)+Inputs!$D$14+Inputs!$D$18),Inputs!$D$15*Inputs!$D$16*Inputs!$D$17,0)</f>
        <v/>
      </c>
      <c r="G9" s="15">
        <f>F9*1000*Inputs!$D$7/1e6</f>
        <v/>
      </c>
      <c r="H9" s="15">
        <f>G9-B9-C9-D9</f>
        <v/>
      </c>
      <c r="I9" s="16">
        <f>1/(1+Inputs!$D$20)^A9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IF(A10&lt;=Inputs!$D$12,Inputs!$D$11/Inputs!$D$12,0)</f>
        <v/>
      </c>
      <c r="C10" s="15">
        <f>IF(A10=Inputs!$D$12,Inputs!$D$24,0)</f>
        <v/>
      </c>
      <c r="D10" s="15">
        <f>IF(AND(A10&gt;(Inputs!$D$12+Inputs!$D$13),A10&lt;=(Inputs!$D$12+Inputs!$D$13)+Inputs!$D$18),Inputs!$D$19,0)</f>
        <v/>
      </c>
      <c r="E10" s="15">
        <f>IF(AND(A10&gt;(Inputs!$D$12+Inputs!$D$13),A10&lt;=(Inputs!$D$12+Inputs!$D$13)+Inputs!$D$18),Inputs!$D$15*Inputs!$D$16,0)</f>
        <v/>
      </c>
      <c r="F10" s="15">
        <f>IF(AND(A10&gt;(Inputs!$D$12+Inputs!$D$13)+Inputs!$D$14,A10&lt;=(Inputs!$D$12+Inputs!$D$13)+Inputs!$D$14+Inputs!$D$18),Inputs!$D$15*Inputs!$D$16*Inputs!$D$17,0)</f>
        <v/>
      </c>
      <c r="G10" s="15">
        <f>F10*1000*Inputs!$D$7/1e6</f>
        <v/>
      </c>
      <c r="H10" s="15">
        <f>G10-B10-C10-D10</f>
        <v/>
      </c>
      <c r="I10" s="16">
        <f>1/(1+Inputs!$D$20)^A10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IF(A11&lt;=Inputs!$D$12,Inputs!$D$11/Inputs!$D$12,0)</f>
        <v/>
      </c>
      <c r="C11" s="15">
        <f>IF(A11=Inputs!$D$12,Inputs!$D$24,0)</f>
        <v/>
      </c>
      <c r="D11" s="15">
        <f>IF(AND(A11&gt;(Inputs!$D$12+Inputs!$D$13),A11&lt;=(Inputs!$D$12+Inputs!$D$13)+Inputs!$D$18),Inputs!$D$19,0)</f>
        <v/>
      </c>
      <c r="E11" s="15">
        <f>IF(AND(A11&gt;(Inputs!$D$12+Inputs!$D$13),A11&lt;=(Inputs!$D$12+Inputs!$D$13)+Inputs!$D$18),Inputs!$D$15*Inputs!$D$16,0)</f>
        <v/>
      </c>
      <c r="F11" s="15">
        <f>IF(AND(A11&gt;(Inputs!$D$12+Inputs!$D$13)+Inputs!$D$14,A11&lt;=(Inputs!$D$12+Inputs!$D$13)+Inputs!$D$14+Inputs!$D$18),Inputs!$D$15*Inputs!$D$16*Inputs!$D$17,0)</f>
        <v/>
      </c>
      <c r="G11" s="15">
        <f>F11*1000*Inputs!$D$7/1e6</f>
        <v/>
      </c>
      <c r="H11" s="15">
        <f>G11-B11-C11-D11</f>
        <v/>
      </c>
      <c r="I11" s="16">
        <f>1/(1+Inputs!$D$20)^A11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IF(A12&lt;=Inputs!$D$12,Inputs!$D$11/Inputs!$D$12,0)</f>
        <v/>
      </c>
      <c r="C12" s="15">
        <f>IF(A12=Inputs!$D$12,Inputs!$D$24,0)</f>
        <v/>
      </c>
      <c r="D12" s="15">
        <f>IF(AND(A12&gt;(Inputs!$D$12+Inputs!$D$13),A12&lt;=(Inputs!$D$12+Inputs!$D$13)+Inputs!$D$18),Inputs!$D$19,0)</f>
        <v/>
      </c>
      <c r="E12" s="15">
        <f>IF(AND(A12&gt;(Inputs!$D$12+Inputs!$D$13),A12&lt;=(Inputs!$D$12+Inputs!$D$13)+Inputs!$D$18),Inputs!$D$15*Inputs!$D$16,0)</f>
        <v/>
      </c>
      <c r="F12" s="15">
        <f>IF(AND(A12&gt;(Inputs!$D$12+Inputs!$D$13)+Inputs!$D$14,A12&lt;=(Inputs!$D$12+Inputs!$D$13)+Inputs!$D$14+Inputs!$D$18),Inputs!$D$15*Inputs!$D$16*Inputs!$D$17,0)</f>
        <v/>
      </c>
      <c r="G12" s="15">
        <f>F12*1000*Inputs!$D$7/1e6</f>
        <v/>
      </c>
      <c r="H12" s="15">
        <f>G12-B12-C12-D12</f>
        <v/>
      </c>
      <c r="I12" s="16">
        <f>1/(1+Inputs!$D$20)^A12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IF(A13&lt;=Inputs!$D$12,Inputs!$D$11/Inputs!$D$12,0)</f>
        <v/>
      </c>
      <c r="C13" s="15">
        <f>IF(A13=Inputs!$D$12,Inputs!$D$24,0)</f>
        <v/>
      </c>
      <c r="D13" s="15">
        <f>IF(AND(A13&gt;(Inputs!$D$12+Inputs!$D$13),A13&lt;=(Inputs!$D$12+Inputs!$D$13)+Inputs!$D$18),Inputs!$D$19,0)</f>
        <v/>
      </c>
      <c r="E13" s="15">
        <f>IF(AND(A13&gt;(Inputs!$D$12+Inputs!$D$13),A13&lt;=(Inputs!$D$12+Inputs!$D$13)+Inputs!$D$18),Inputs!$D$15*Inputs!$D$16,0)</f>
        <v/>
      </c>
      <c r="F13" s="15">
        <f>IF(AND(A13&gt;(Inputs!$D$12+Inputs!$D$13)+Inputs!$D$14,A13&lt;=(Inputs!$D$12+Inputs!$D$13)+Inputs!$D$14+Inputs!$D$18),Inputs!$D$15*Inputs!$D$16*Inputs!$D$17,0)</f>
        <v/>
      </c>
      <c r="G13" s="15">
        <f>F13*1000*Inputs!$D$7/1e6</f>
        <v/>
      </c>
      <c r="H13" s="15">
        <f>G13-B13-C13-D13</f>
        <v/>
      </c>
      <c r="I13" s="16">
        <f>1/(1+Inputs!$D$20)^A13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IF(A14&lt;=Inputs!$D$12,Inputs!$D$11/Inputs!$D$12,0)</f>
        <v/>
      </c>
      <c r="C14" s="15">
        <f>IF(A14=Inputs!$D$12,Inputs!$D$24,0)</f>
        <v/>
      </c>
      <c r="D14" s="15">
        <f>IF(AND(A14&gt;(Inputs!$D$12+Inputs!$D$13),A14&lt;=(Inputs!$D$12+Inputs!$D$13)+Inputs!$D$18),Inputs!$D$19,0)</f>
        <v/>
      </c>
      <c r="E14" s="15">
        <f>IF(AND(A14&gt;(Inputs!$D$12+Inputs!$D$13),A14&lt;=(Inputs!$D$12+Inputs!$D$13)+Inputs!$D$18),Inputs!$D$15*Inputs!$D$16,0)</f>
        <v/>
      </c>
      <c r="F14" s="15">
        <f>IF(AND(A14&gt;(Inputs!$D$12+Inputs!$D$13)+Inputs!$D$14,A14&lt;=(Inputs!$D$12+Inputs!$D$13)+Inputs!$D$14+Inputs!$D$18),Inputs!$D$15*Inputs!$D$16*Inputs!$D$17,0)</f>
        <v/>
      </c>
      <c r="G14" s="15">
        <f>F14*1000*Inputs!$D$7/1e6</f>
        <v/>
      </c>
      <c r="H14" s="15">
        <f>G14-B14-C14-D14</f>
        <v/>
      </c>
      <c r="I14" s="16">
        <f>1/(1+Inputs!$D$20)^A14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IF(A15&lt;=Inputs!$D$12,Inputs!$D$11/Inputs!$D$12,0)</f>
        <v/>
      </c>
      <c r="C15" s="15">
        <f>IF(A15=Inputs!$D$12,Inputs!$D$24,0)</f>
        <v/>
      </c>
      <c r="D15" s="15">
        <f>IF(AND(A15&gt;(Inputs!$D$12+Inputs!$D$13),A15&lt;=(Inputs!$D$12+Inputs!$D$13)+Inputs!$D$18),Inputs!$D$19,0)</f>
        <v/>
      </c>
      <c r="E15" s="15">
        <f>IF(AND(A15&gt;(Inputs!$D$12+Inputs!$D$13),A15&lt;=(Inputs!$D$12+Inputs!$D$13)+Inputs!$D$18),Inputs!$D$15*Inputs!$D$16,0)</f>
        <v/>
      </c>
      <c r="F15" s="15">
        <f>IF(AND(A15&gt;(Inputs!$D$12+Inputs!$D$13)+Inputs!$D$14,A15&lt;=(Inputs!$D$12+Inputs!$D$13)+Inputs!$D$14+Inputs!$D$18),Inputs!$D$15*Inputs!$D$16*Inputs!$D$17,0)</f>
        <v/>
      </c>
      <c r="G15" s="15">
        <f>F15*1000*Inputs!$D$7/1e6</f>
        <v/>
      </c>
      <c r="H15" s="15">
        <f>G15-B15-C15-D15</f>
        <v/>
      </c>
      <c r="I15" s="16">
        <f>1/(1+Inputs!$D$20)^A15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IF(A16&lt;=Inputs!$D$12,Inputs!$D$11/Inputs!$D$12,0)</f>
        <v/>
      </c>
      <c r="C16" s="15">
        <f>IF(A16=Inputs!$D$12,Inputs!$D$24,0)</f>
        <v/>
      </c>
      <c r="D16" s="15">
        <f>IF(AND(A16&gt;(Inputs!$D$12+Inputs!$D$13),A16&lt;=(Inputs!$D$12+Inputs!$D$13)+Inputs!$D$18),Inputs!$D$19,0)</f>
        <v/>
      </c>
      <c r="E16" s="15">
        <f>IF(AND(A16&gt;(Inputs!$D$12+Inputs!$D$13),A16&lt;=(Inputs!$D$12+Inputs!$D$13)+Inputs!$D$18),Inputs!$D$15*Inputs!$D$16,0)</f>
        <v/>
      </c>
      <c r="F16" s="15">
        <f>IF(AND(A16&gt;(Inputs!$D$12+Inputs!$D$13)+Inputs!$D$14,A16&lt;=(Inputs!$D$12+Inputs!$D$13)+Inputs!$D$14+Inputs!$D$18),Inputs!$D$15*Inputs!$D$16*Inputs!$D$17,0)</f>
        <v/>
      </c>
      <c r="G16" s="15">
        <f>F16*1000*Inputs!$D$7/1e6</f>
        <v/>
      </c>
      <c r="H16" s="15">
        <f>G16-B16-C16-D16</f>
        <v/>
      </c>
      <c r="I16" s="16">
        <f>1/(1+Inputs!$D$20)^A16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IF(A17&lt;=Inputs!$D$12,Inputs!$D$11/Inputs!$D$12,0)</f>
        <v/>
      </c>
      <c r="C17" s="15">
        <f>IF(A17=Inputs!$D$12,Inputs!$D$24,0)</f>
        <v/>
      </c>
      <c r="D17" s="15">
        <f>IF(AND(A17&gt;(Inputs!$D$12+Inputs!$D$13),A17&lt;=(Inputs!$D$12+Inputs!$D$13)+Inputs!$D$18),Inputs!$D$19,0)</f>
        <v/>
      </c>
      <c r="E17" s="15">
        <f>IF(AND(A17&gt;(Inputs!$D$12+Inputs!$D$13),A17&lt;=(Inputs!$D$12+Inputs!$D$13)+Inputs!$D$18),Inputs!$D$15*Inputs!$D$16,0)</f>
        <v/>
      </c>
      <c r="F17" s="15">
        <f>IF(AND(A17&gt;(Inputs!$D$12+Inputs!$D$13)+Inputs!$D$14,A17&lt;=(Inputs!$D$12+Inputs!$D$13)+Inputs!$D$14+Inputs!$D$18),Inputs!$D$15*Inputs!$D$16*Inputs!$D$17,0)</f>
        <v/>
      </c>
      <c r="G17" s="15">
        <f>F17*1000*Inputs!$D$7/1e6</f>
        <v/>
      </c>
      <c r="H17" s="15">
        <f>G17-B17-C17-D17</f>
        <v/>
      </c>
      <c r="I17" s="16">
        <f>1/(1+Inputs!$D$20)^A17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IF(A18&lt;=Inputs!$D$12,Inputs!$D$11/Inputs!$D$12,0)</f>
        <v/>
      </c>
      <c r="C18" s="15">
        <f>IF(A18=Inputs!$D$12,Inputs!$D$24,0)</f>
        <v/>
      </c>
      <c r="D18" s="15">
        <f>IF(AND(A18&gt;(Inputs!$D$12+Inputs!$D$13),A18&lt;=(Inputs!$D$12+Inputs!$D$13)+Inputs!$D$18),Inputs!$D$19,0)</f>
        <v/>
      </c>
      <c r="E18" s="15">
        <f>IF(AND(A18&gt;(Inputs!$D$12+Inputs!$D$13),A18&lt;=(Inputs!$D$12+Inputs!$D$13)+Inputs!$D$18),Inputs!$D$15*Inputs!$D$16,0)</f>
        <v/>
      </c>
      <c r="F18" s="15">
        <f>IF(AND(A18&gt;(Inputs!$D$12+Inputs!$D$13)+Inputs!$D$14,A18&lt;=(Inputs!$D$12+Inputs!$D$13)+Inputs!$D$14+Inputs!$D$18),Inputs!$D$15*Inputs!$D$16*Inputs!$D$17,0)</f>
        <v/>
      </c>
      <c r="G18" s="15">
        <f>F18*1000*Inputs!$D$7/1e6</f>
        <v/>
      </c>
      <c r="H18" s="15">
        <f>G18-B18-C18-D18</f>
        <v/>
      </c>
      <c r="I18" s="16">
        <f>1/(1+Inputs!$D$20)^A18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IF(A19&lt;=Inputs!$D$12,Inputs!$D$11/Inputs!$D$12,0)</f>
        <v/>
      </c>
      <c r="C19" s="15">
        <f>IF(A19=Inputs!$D$12,Inputs!$D$24,0)</f>
        <v/>
      </c>
      <c r="D19" s="15">
        <f>IF(AND(A19&gt;(Inputs!$D$12+Inputs!$D$13),A19&lt;=(Inputs!$D$12+Inputs!$D$13)+Inputs!$D$18),Inputs!$D$19,0)</f>
        <v/>
      </c>
      <c r="E19" s="15">
        <f>IF(AND(A19&gt;(Inputs!$D$12+Inputs!$D$13),A19&lt;=(Inputs!$D$12+Inputs!$D$13)+Inputs!$D$18),Inputs!$D$15*Inputs!$D$16,0)</f>
        <v/>
      </c>
      <c r="F19" s="15">
        <f>IF(AND(A19&gt;(Inputs!$D$12+Inputs!$D$13)+Inputs!$D$14,A19&lt;=(Inputs!$D$12+Inputs!$D$13)+Inputs!$D$14+Inputs!$D$18),Inputs!$D$15*Inputs!$D$16*Inputs!$D$17,0)</f>
        <v/>
      </c>
      <c r="G19" s="15">
        <f>F19*1000*Inputs!$D$7/1e6</f>
        <v/>
      </c>
      <c r="H19" s="15">
        <f>G19-B19-C19-D19</f>
        <v/>
      </c>
      <c r="I19" s="16">
        <f>1/(1+Inputs!$D$20)^A19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IF(A20&lt;=Inputs!$D$12,Inputs!$D$11/Inputs!$D$12,0)</f>
        <v/>
      </c>
      <c r="C20" s="15">
        <f>IF(A20=Inputs!$D$12,Inputs!$D$24,0)</f>
        <v/>
      </c>
      <c r="D20" s="15">
        <f>IF(AND(A20&gt;(Inputs!$D$12+Inputs!$D$13),A20&lt;=(Inputs!$D$12+Inputs!$D$13)+Inputs!$D$18),Inputs!$D$19,0)</f>
        <v/>
      </c>
      <c r="E20" s="15">
        <f>IF(AND(A20&gt;(Inputs!$D$12+Inputs!$D$13),A20&lt;=(Inputs!$D$12+Inputs!$D$13)+Inputs!$D$18),Inputs!$D$15*Inputs!$D$16,0)</f>
        <v/>
      </c>
      <c r="F20" s="15">
        <f>IF(AND(A20&gt;(Inputs!$D$12+Inputs!$D$13)+Inputs!$D$14,A20&lt;=(Inputs!$D$12+Inputs!$D$13)+Inputs!$D$14+Inputs!$D$18),Inputs!$D$15*Inputs!$D$16*Inputs!$D$17,0)</f>
        <v/>
      </c>
      <c r="G20" s="15">
        <f>F20*1000*Inputs!$D$7/1e6</f>
        <v/>
      </c>
      <c r="H20" s="15">
        <f>G20-B20-C20-D20</f>
        <v/>
      </c>
      <c r="I20" s="16">
        <f>1/(1+Inputs!$D$20)^A20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IF(A21&lt;=Inputs!$D$12,Inputs!$D$11/Inputs!$D$12,0)</f>
        <v/>
      </c>
      <c r="C21" s="15">
        <f>IF(A21=Inputs!$D$12,Inputs!$D$24,0)</f>
        <v/>
      </c>
      <c r="D21" s="15">
        <f>IF(AND(A21&gt;(Inputs!$D$12+Inputs!$D$13),A21&lt;=(Inputs!$D$12+Inputs!$D$13)+Inputs!$D$18),Inputs!$D$19,0)</f>
        <v/>
      </c>
      <c r="E21" s="15">
        <f>IF(AND(A21&gt;(Inputs!$D$12+Inputs!$D$13),A21&lt;=(Inputs!$D$12+Inputs!$D$13)+Inputs!$D$18),Inputs!$D$15*Inputs!$D$16,0)</f>
        <v/>
      </c>
      <c r="F21" s="15">
        <f>IF(AND(A21&gt;(Inputs!$D$12+Inputs!$D$13)+Inputs!$D$14,A21&lt;=(Inputs!$D$12+Inputs!$D$13)+Inputs!$D$14+Inputs!$D$18),Inputs!$D$15*Inputs!$D$16*Inputs!$D$17,0)</f>
        <v/>
      </c>
      <c r="G21" s="15">
        <f>F21*1000*Inputs!$D$7/1e6</f>
        <v/>
      </c>
      <c r="H21" s="15">
        <f>G21-B21-C21-D21</f>
        <v/>
      </c>
      <c r="I21" s="16">
        <f>1/(1+Inputs!$D$20)^A21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IF(A22&lt;=Inputs!$D$12,Inputs!$D$11/Inputs!$D$12,0)</f>
        <v/>
      </c>
      <c r="C22" s="15">
        <f>IF(A22=Inputs!$D$12,Inputs!$D$24,0)</f>
        <v/>
      </c>
      <c r="D22" s="15">
        <f>IF(AND(A22&gt;(Inputs!$D$12+Inputs!$D$13),A22&lt;=(Inputs!$D$12+Inputs!$D$13)+Inputs!$D$18),Inputs!$D$19,0)</f>
        <v/>
      </c>
      <c r="E22" s="15">
        <f>IF(AND(A22&gt;(Inputs!$D$12+Inputs!$D$13),A22&lt;=(Inputs!$D$12+Inputs!$D$13)+Inputs!$D$18),Inputs!$D$15*Inputs!$D$16,0)</f>
        <v/>
      </c>
      <c r="F22" s="15">
        <f>IF(AND(A22&gt;(Inputs!$D$12+Inputs!$D$13)+Inputs!$D$14,A22&lt;=(Inputs!$D$12+Inputs!$D$13)+Inputs!$D$14+Inputs!$D$18),Inputs!$D$15*Inputs!$D$16*Inputs!$D$17,0)</f>
        <v/>
      </c>
      <c r="G22" s="15">
        <f>F22*1000*Inputs!$D$7/1e6</f>
        <v/>
      </c>
      <c r="H22" s="15">
        <f>G22-B22-C22-D22</f>
        <v/>
      </c>
      <c r="I22" s="16">
        <f>1/(1+Inputs!$D$20)^A22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IF(A23&lt;=Inputs!$D$12,Inputs!$D$11/Inputs!$D$12,0)</f>
        <v/>
      </c>
      <c r="C23" s="15">
        <f>IF(A23=Inputs!$D$12,Inputs!$D$24,0)</f>
        <v/>
      </c>
      <c r="D23" s="15">
        <f>IF(AND(A23&gt;(Inputs!$D$12+Inputs!$D$13),A23&lt;=(Inputs!$D$12+Inputs!$D$13)+Inputs!$D$18),Inputs!$D$19,0)</f>
        <v/>
      </c>
      <c r="E23" s="15">
        <f>IF(AND(A23&gt;(Inputs!$D$12+Inputs!$D$13),A23&lt;=(Inputs!$D$12+Inputs!$D$13)+Inputs!$D$18),Inputs!$D$15*Inputs!$D$16,0)</f>
        <v/>
      </c>
      <c r="F23" s="15">
        <f>IF(AND(A23&gt;(Inputs!$D$12+Inputs!$D$13)+Inputs!$D$14,A23&lt;=(Inputs!$D$12+Inputs!$D$13)+Inputs!$D$14+Inputs!$D$18),Inputs!$D$15*Inputs!$D$16*Inputs!$D$17,0)</f>
        <v/>
      </c>
      <c r="G23" s="15">
        <f>F23*1000*Inputs!$D$7/1e6</f>
        <v/>
      </c>
      <c r="H23" s="15">
        <f>G23-B23-C23-D23</f>
        <v/>
      </c>
      <c r="I23" s="16">
        <f>1/(1+Inputs!$D$20)^A23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IF(A24&lt;=Inputs!$D$12,Inputs!$D$11/Inputs!$D$12,0)</f>
        <v/>
      </c>
      <c r="C24" s="15">
        <f>IF(A24=Inputs!$D$12,Inputs!$D$24,0)</f>
        <v/>
      </c>
      <c r="D24" s="15">
        <f>IF(AND(A24&gt;(Inputs!$D$12+Inputs!$D$13),A24&lt;=(Inputs!$D$12+Inputs!$D$13)+Inputs!$D$18),Inputs!$D$19,0)</f>
        <v/>
      </c>
      <c r="E24" s="15">
        <f>IF(AND(A24&gt;(Inputs!$D$12+Inputs!$D$13),A24&lt;=(Inputs!$D$12+Inputs!$D$13)+Inputs!$D$18),Inputs!$D$15*Inputs!$D$16,0)</f>
        <v/>
      </c>
      <c r="F24" s="15">
        <f>IF(AND(A24&gt;(Inputs!$D$12+Inputs!$D$13)+Inputs!$D$14,A24&lt;=(Inputs!$D$12+Inputs!$D$13)+Inputs!$D$14+Inputs!$D$18),Inputs!$D$15*Inputs!$D$16*Inputs!$D$17,0)</f>
        <v/>
      </c>
      <c r="G24" s="15">
        <f>F24*1000*Inputs!$D$7/1e6</f>
        <v/>
      </c>
      <c r="H24" s="15">
        <f>G24-B24-C24-D24</f>
        <v/>
      </c>
      <c r="I24" s="16">
        <f>1/(1+Inputs!$D$20)^A24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IF(A25&lt;=Inputs!$D$12,Inputs!$D$11/Inputs!$D$12,0)</f>
        <v/>
      </c>
      <c r="C25" s="15">
        <f>IF(A25=Inputs!$D$12,Inputs!$D$24,0)</f>
        <v/>
      </c>
      <c r="D25" s="15">
        <f>IF(AND(A25&gt;(Inputs!$D$12+Inputs!$D$13),A25&lt;=(Inputs!$D$12+Inputs!$D$13)+Inputs!$D$18),Inputs!$D$19,0)</f>
        <v/>
      </c>
      <c r="E25" s="15">
        <f>IF(AND(A25&gt;(Inputs!$D$12+Inputs!$D$13),A25&lt;=(Inputs!$D$12+Inputs!$D$13)+Inputs!$D$18),Inputs!$D$15*Inputs!$D$16,0)</f>
        <v/>
      </c>
      <c r="F25" s="15">
        <f>IF(AND(A25&gt;(Inputs!$D$12+Inputs!$D$13)+Inputs!$D$14,A25&lt;=(Inputs!$D$12+Inputs!$D$13)+Inputs!$D$14+Inputs!$D$18),Inputs!$D$15*Inputs!$D$16*Inputs!$D$17,0)</f>
        <v/>
      </c>
      <c r="G25" s="15">
        <f>F25*1000*Inputs!$D$7/1e6</f>
        <v/>
      </c>
      <c r="H25" s="15">
        <f>G25-B25-C25-D25</f>
        <v/>
      </c>
      <c r="I25" s="16">
        <f>1/(1+Inputs!$D$20)^A25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IF(A26&lt;=Inputs!$D$12,Inputs!$D$11/Inputs!$D$12,0)</f>
        <v/>
      </c>
      <c r="C26" s="15">
        <f>IF(A26=Inputs!$D$12,Inputs!$D$24,0)</f>
        <v/>
      </c>
      <c r="D26" s="15">
        <f>IF(AND(A26&gt;(Inputs!$D$12+Inputs!$D$13),A26&lt;=(Inputs!$D$12+Inputs!$D$13)+Inputs!$D$18),Inputs!$D$19,0)</f>
        <v/>
      </c>
      <c r="E26" s="15">
        <f>IF(AND(A26&gt;(Inputs!$D$12+Inputs!$D$13),A26&lt;=(Inputs!$D$12+Inputs!$D$13)+Inputs!$D$18),Inputs!$D$15*Inputs!$D$16,0)</f>
        <v/>
      </c>
      <c r="F26" s="15">
        <f>IF(AND(A26&gt;(Inputs!$D$12+Inputs!$D$13)+Inputs!$D$14,A26&lt;=(Inputs!$D$12+Inputs!$D$13)+Inputs!$D$14+Inputs!$D$18),Inputs!$D$15*Inputs!$D$16*Inputs!$D$17,0)</f>
        <v/>
      </c>
      <c r="G26" s="15">
        <f>F26*1000*Inputs!$D$7/1e6</f>
        <v/>
      </c>
      <c r="H26" s="15">
        <f>G26-B26-C26-D26</f>
        <v/>
      </c>
      <c r="I26" s="16">
        <f>1/(1+Inputs!$D$20)^A26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IF(A27&lt;=Inputs!$D$12,Inputs!$D$11/Inputs!$D$12,0)</f>
        <v/>
      </c>
      <c r="C27" s="15">
        <f>IF(A27=Inputs!$D$12,Inputs!$D$24,0)</f>
        <v/>
      </c>
      <c r="D27" s="15">
        <f>IF(AND(A27&gt;(Inputs!$D$12+Inputs!$D$13),A27&lt;=(Inputs!$D$12+Inputs!$D$13)+Inputs!$D$18),Inputs!$D$19,0)</f>
        <v/>
      </c>
      <c r="E27" s="15">
        <f>IF(AND(A27&gt;(Inputs!$D$12+Inputs!$D$13),A27&lt;=(Inputs!$D$12+Inputs!$D$13)+Inputs!$D$18),Inputs!$D$15*Inputs!$D$16,0)</f>
        <v/>
      </c>
      <c r="F27" s="15">
        <f>IF(AND(A27&gt;(Inputs!$D$12+Inputs!$D$13)+Inputs!$D$14,A27&lt;=(Inputs!$D$12+Inputs!$D$13)+Inputs!$D$14+Inputs!$D$18),Inputs!$D$15*Inputs!$D$16*Inputs!$D$17,0)</f>
        <v/>
      </c>
      <c r="G27" s="15">
        <f>F27*1000*Inputs!$D$7/1e6</f>
        <v/>
      </c>
      <c r="H27" s="15">
        <f>G27-B27-C27-D27</f>
        <v/>
      </c>
      <c r="I27" s="16">
        <f>1/(1+Inputs!$D$20)^A27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IF(A28&lt;=Inputs!$D$12,Inputs!$D$11/Inputs!$D$12,0)</f>
        <v/>
      </c>
      <c r="C28" s="15">
        <f>IF(A28=Inputs!$D$12,Inputs!$D$24,0)</f>
        <v/>
      </c>
      <c r="D28" s="15">
        <f>IF(AND(A28&gt;(Inputs!$D$12+Inputs!$D$13),A28&lt;=(Inputs!$D$12+Inputs!$D$13)+Inputs!$D$18),Inputs!$D$19,0)</f>
        <v/>
      </c>
      <c r="E28" s="15">
        <f>IF(AND(A28&gt;(Inputs!$D$12+Inputs!$D$13),A28&lt;=(Inputs!$D$12+Inputs!$D$13)+Inputs!$D$18),Inputs!$D$15*Inputs!$D$16,0)</f>
        <v/>
      </c>
      <c r="F28" s="15">
        <f>IF(AND(A28&gt;(Inputs!$D$12+Inputs!$D$13)+Inputs!$D$14,A28&lt;=(Inputs!$D$12+Inputs!$D$13)+Inputs!$D$14+Inputs!$D$18),Inputs!$D$15*Inputs!$D$16*Inputs!$D$17,0)</f>
        <v/>
      </c>
      <c r="G28" s="15">
        <f>F28*1000*Inputs!$D$7/1e6</f>
        <v/>
      </c>
      <c r="H28" s="15">
        <f>G28-B28-C28-D28</f>
        <v/>
      </c>
      <c r="I28" s="16">
        <f>1/(1+Inputs!$D$20)^A28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IF(A29&lt;=Inputs!$D$12,Inputs!$D$11/Inputs!$D$12,0)</f>
        <v/>
      </c>
      <c r="C29" s="15">
        <f>IF(A29=Inputs!$D$12,Inputs!$D$24,0)</f>
        <v/>
      </c>
      <c r="D29" s="15">
        <f>IF(AND(A29&gt;(Inputs!$D$12+Inputs!$D$13),A29&lt;=(Inputs!$D$12+Inputs!$D$13)+Inputs!$D$18),Inputs!$D$19,0)</f>
        <v/>
      </c>
      <c r="E29" s="15">
        <f>IF(AND(A29&gt;(Inputs!$D$12+Inputs!$D$13),A29&lt;=(Inputs!$D$12+Inputs!$D$13)+Inputs!$D$18),Inputs!$D$15*Inputs!$D$16,0)</f>
        <v/>
      </c>
      <c r="F29" s="15">
        <f>IF(AND(A29&gt;(Inputs!$D$12+Inputs!$D$13)+Inputs!$D$14,A29&lt;=(Inputs!$D$12+Inputs!$D$13)+Inputs!$D$14+Inputs!$D$18),Inputs!$D$15*Inputs!$D$16*Inputs!$D$17,0)</f>
        <v/>
      </c>
      <c r="G29" s="15">
        <f>F29*1000*Inputs!$D$7/1e6</f>
        <v/>
      </c>
      <c r="H29" s="15">
        <f>G29-B29-C29-D29</f>
        <v/>
      </c>
      <c r="I29" s="16">
        <f>1/(1+Inputs!$D$20)^A29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IF(A30&lt;=Inputs!$D$12,Inputs!$D$11/Inputs!$D$12,0)</f>
        <v/>
      </c>
      <c r="C30" s="15">
        <f>IF(A30=Inputs!$D$12,Inputs!$D$24,0)</f>
        <v/>
      </c>
      <c r="D30" s="15">
        <f>IF(AND(A30&gt;(Inputs!$D$12+Inputs!$D$13),A30&lt;=(Inputs!$D$12+Inputs!$D$13)+Inputs!$D$18),Inputs!$D$19,0)</f>
        <v/>
      </c>
      <c r="E30" s="15">
        <f>IF(AND(A30&gt;(Inputs!$D$12+Inputs!$D$13),A30&lt;=(Inputs!$D$12+Inputs!$D$13)+Inputs!$D$18),Inputs!$D$15*Inputs!$D$16,0)</f>
        <v/>
      </c>
      <c r="F30" s="15">
        <f>IF(AND(A30&gt;(Inputs!$D$12+Inputs!$D$13)+Inputs!$D$14,A30&lt;=(Inputs!$D$12+Inputs!$D$13)+Inputs!$D$14+Inputs!$D$18),Inputs!$D$15*Inputs!$D$16*Inputs!$D$17,0)</f>
        <v/>
      </c>
      <c r="G30" s="15">
        <f>F30*1000*Inputs!$D$7/1e6</f>
        <v/>
      </c>
      <c r="H30" s="15">
        <f>G30-B30-C30-D30</f>
        <v/>
      </c>
      <c r="I30" s="16">
        <f>1/(1+Inputs!$D$20)^A30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IF(A31&lt;=Inputs!$D$12,Inputs!$D$11/Inputs!$D$12,0)</f>
        <v/>
      </c>
      <c r="C31" s="15">
        <f>IF(A31=Inputs!$D$12,Inputs!$D$24,0)</f>
        <v/>
      </c>
      <c r="D31" s="15">
        <f>IF(AND(A31&gt;(Inputs!$D$12+Inputs!$D$13),A31&lt;=(Inputs!$D$12+Inputs!$D$13)+Inputs!$D$18),Inputs!$D$19,0)</f>
        <v/>
      </c>
      <c r="E31" s="15">
        <f>IF(AND(A31&gt;(Inputs!$D$12+Inputs!$D$13),A31&lt;=(Inputs!$D$12+Inputs!$D$13)+Inputs!$D$18),Inputs!$D$15*Inputs!$D$16,0)</f>
        <v/>
      </c>
      <c r="F31" s="15">
        <f>IF(AND(A31&gt;(Inputs!$D$12+Inputs!$D$13)+Inputs!$D$14,A31&lt;=(Inputs!$D$12+Inputs!$D$13)+Inputs!$D$14+Inputs!$D$18),Inputs!$D$15*Inputs!$D$16*Inputs!$D$17,0)</f>
        <v/>
      </c>
      <c r="G31" s="15">
        <f>F31*1000*Inputs!$D$7/1e6</f>
        <v/>
      </c>
      <c r="H31" s="15">
        <f>G31-B31-C31-D31</f>
        <v/>
      </c>
      <c r="I31" s="16">
        <f>1/(1+Inputs!$D$20)^A31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IF(A32&lt;=Inputs!$D$12,Inputs!$D$11/Inputs!$D$12,0)</f>
        <v/>
      </c>
      <c r="C32" s="15">
        <f>IF(A32=Inputs!$D$12,Inputs!$D$24,0)</f>
        <v/>
      </c>
      <c r="D32" s="15">
        <f>IF(AND(A32&gt;(Inputs!$D$12+Inputs!$D$13),A32&lt;=(Inputs!$D$12+Inputs!$D$13)+Inputs!$D$18),Inputs!$D$19,0)</f>
        <v/>
      </c>
      <c r="E32" s="15">
        <f>IF(AND(A32&gt;(Inputs!$D$12+Inputs!$D$13),A32&lt;=(Inputs!$D$12+Inputs!$D$13)+Inputs!$D$18),Inputs!$D$15*Inputs!$D$16,0)</f>
        <v/>
      </c>
      <c r="F32" s="15">
        <f>IF(AND(A32&gt;(Inputs!$D$12+Inputs!$D$13)+Inputs!$D$14,A32&lt;=(Inputs!$D$12+Inputs!$D$13)+Inputs!$D$14+Inputs!$D$18),Inputs!$D$15*Inputs!$D$16*Inputs!$D$17,0)</f>
        <v/>
      </c>
      <c r="G32" s="15">
        <f>F32*1000*Inputs!$D$7/1e6</f>
        <v/>
      </c>
      <c r="H32" s="15">
        <f>G32-B32-C32-D32</f>
        <v/>
      </c>
      <c r="I32" s="16">
        <f>1/(1+Inputs!$D$20)^A32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IF(A33&lt;=Inputs!$D$12,Inputs!$D$11/Inputs!$D$12,0)</f>
        <v/>
      </c>
      <c r="C33" s="15">
        <f>IF(A33=Inputs!$D$12,Inputs!$D$24,0)</f>
        <v/>
      </c>
      <c r="D33" s="15">
        <f>IF(AND(A33&gt;(Inputs!$D$12+Inputs!$D$13),A33&lt;=(Inputs!$D$12+Inputs!$D$13)+Inputs!$D$18),Inputs!$D$19,0)</f>
        <v/>
      </c>
      <c r="E33" s="15">
        <f>IF(AND(A33&gt;(Inputs!$D$12+Inputs!$D$13),A33&lt;=(Inputs!$D$12+Inputs!$D$13)+Inputs!$D$18),Inputs!$D$15*Inputs!$D$16,0)</f>
        <v/>
      </c>
      <c r="F33" s="15">
        <f>IF(AND(A33&gt;(Inputs!$D$12+Inputs!$D$13)+Inputs!$D$14,A33&lt;=(Inputs!$D$12+Inputs!$D$13)+Inputs!$D$14+Inputs!$D$18),Inputs!$D$15*Inputs!$D$16*Inputs!$D$17,0)</f>
        <v/>
      </c>
      <c r="G33" s="15">
        <f>F33*1000*Inputs!$D$7/1e6</f>
        <v/>
      </c>
      <c r="H33" s="15">
        <f>G33-B33-C33-D33</f>
        <v/>
      </c>
      <c r="I33" s="16">
        <f>1/(1+Inputs!$D$20)^A33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IF(A34&lt;=Inputs!$D$12,Inputs!$D$11/Inputs!$D$12,0)</f>
        <v/>
      </c>
      <c r="C34" s="15">
        <f>IF(A34=Inputs!$D$12,Inputs!$D$24,0)</f>
        <v/>
      </c>
      <c r="D34" s="15">
        <f>IF(AND(A34&gt;(Inputs!$D$12+Inputs!$D$13),A34&lt;=(Inputs!$D$12+Inputs!$D$13)+Inputs!$D$18),Inputs!$D$19,0)</f>
        <v/>
      </c>
      <c r="E34" s="15">
        <f>IF(AND(A34&gt;(Inputs!$D$12+Inputs!$D$13),A34&lt;=(Inputs!$D$12+Inputs!$D$13)+Inputs!$D$18),Inputs!$D$15*Inputs!$D$16,0)</f>
        <v/>
      </c>
      <c r="F34" s="15">
        <f>IF(AND(A34&gt;(Inputs!$D$12+Inputs!$D$13)+Inputs!$D$14,A34&lt;=(Inputs!$D$12+Inputs!$D$13)+Inputs!$D$14+Inputs!$D$18),Inputs!$D$15*Inputs!$D$16*Inputs!$D$17,0)</f>
        <v/>
      </c>
      <c r="G34" s="15">
        <f>F34*1000*Inputs!$D$7/1e6</f>
        <v/>
      </c>
      <c r="H34" s="15">
        <f>G34-B34-C34-D34</f>
        <v/>
      </c>
      <c r="I34" s="16">
        <f>1/(1+Inputs!$D$20)^A34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IF(A35&lt;=Inputs!$D$12,Inputs!$D$11/Inputs!$D$12,0)</f>
        <v/>
      </c>
      <c r="C35" s="15">
        <f>IF(A35=Inputs!$D$12,Inputs!$D$24,0)</f>
        <v/>
      </c>
      <c r="D35" s="15">
        <f>IF(AND(A35&gt;(Inputs!$D$12+Inputs!$D$13),A35&lt;=(Inputs!$D$12+Inputs!$D$13)+Inputs!$D$18),Inputs!$D$19,0)</f>
        <v/>
      </c>
      <c r="E35" s="15">
        <f>IF(AND(A35&gt;(Inputs!$D$12+Inputs!$D$13),A35&lt;=(Inputs!$D$12+Inputs!$D$13)+Inputs!$D$18),Inputs!$D$15*Inputs!$D$16,0)</f>
        <v/>
      </c>
      <c r="F35" s="15">
        <f>IF(AND(A35&gt;(Inputs!$D$12+Inputs!$D$13)+Inputs!$D$14,A35&lt;=(Inputs!$D$12+Inputs!$D$13)+Inputs!$D$14+Inputs!$D$18),Inputs!$D$15*Inputs!$D$16*Inputs!$D$17,0)</f>
        <v/>
      </c>
      <c r="G35" s="15">
        <f>F35*1000*Inputs!$D$7/1e6</f>
        <v/>
      </c>
      <c r="H35" s="15">
        <f>G35-B35-C35-D35</f>
        <v/>
      </c>
      <c r="I35" s="16">
        <f>1/(1+Inputs!$D$20)^A35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IF(A36&lt;=Inputs!$D$12,Inputs!$D$11/Inputs!$D$12,0)</f>
        <v/>
      </c>
      <c r="C36" s="15">
        <f>IF(A36=Inputs!$D$12,Inputs!$D$24,0)</f>
        <v/>
      </c>
      <c r="D36" s="15">
        <f>IF(AND(A36&gt;(Inputs!$D$12+Inputs!$D$13),A36&lt;=(Inputs!$D$12+Inputs!$D$13)+Inputs!$D$18),Inputs!$D$19,0)</f>
        <v/>
      </c>
      <c r="E36" s="15">
        <f>IF(AND(A36&gt;(Inputs!$D$12+Inputs!$D$13),A36&lt;=(Inputs!$D$12+Inputs!$D$13)+Inputs!$D$18),Inputs!$D$15*Inputs!$D$16,0)</f>
        <v/>
      </c>
      <c r="F36" s="15">
        <f>IF(AND(A36&gt;(Inputs!$D$12+Inputs!$D$13)+Inputs!$D$14,A36&lt;=(Inputs!$D$12+Inputs!$D$13)+Inputs!$D$14+Inputs!$D$18),Inputs!$D$15*Inputs!$D$16*Inputs!$D$17,0)</f>
        <v/>
      </c>
      <c r="G36" s="15">
        <f>F36*1000*Inputs!$D$7/1e6</f>
        <v/>
      </c>
      <c r="H36" s="15">
        <f>G36-B36-C36-D36</f>
        <v/>
      </c>
      <c r="I36" s="16">
        <f>1/(1+Inputs!$D$20)^A36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IF(A37&lt;=Inputs!$D$12,Inputs!$D$11/Inputs!$D$12,0)</f>
        <v/>
      </c>
      <c r="C37" s="15">
        <f>IF(A37=Inputs!$D$12,Inputs!$D$24,0)</f>
        <v/>
      </c>
      <c r="D37" s="15">
        <f>IF(AND(A37&gt;(Inputs!$D$12+Inputs!$D$13),A37&lt;=(Inputs!$D$12+Inputs!$D$13)+Inputs!$D$18),Inputs!$D$19,0)</f>
        <v/>
      </c>
      <c r="E37" s="15">
        <f>IF(AND(A37&gt;(Inputs!$D$12+Inputs!$D$13),A37&lt;=(Inputs!$D$12+Inputs!$D$13)+Inputs!$D$18),Inputs!$D$15*Inputs!$D$16,0)</f>
        <v/>
      </c>
      <c r="F37" s="15">
        <f>IF(AND(A37&gt;(Inputs!$D$12+Inputs!$D$13)+Inputs!$D$14,A37&lt;=(Inputs!$D$12+Inputs!$D$13)+Inputs!$D$14+Inputs!$D$18),Inputs!$D$15*Inputs!$D$16*Inputs!$D$17,0)</f>
        <v/>
      </c>
      <c r="G37" s="15">
        <f>F37*1000*Inputs!$D$7/1e6</f>
        <v/>
      </c>
      <c r="H37" s="15">
        <f>G37-B37-C37-D37</f>
        <v/>
      </c>
      <c r="I37" s="16">
        <f>1/(1+Inputs!$D$20)^A37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IF(A38&lt;=Inputs!$D$12,Inputs!$D$11/Inputs!$D$12,0)</f>
        <v/>
      </c>
      <c r="C38" s="15">
        <f>IF(A38=Inputs!$D$12,Inputs!$D$24,0)</f>
        <v/>
      </c>
      <c r="D38" s="15">
        <f>IF(AND(A38&gt;(Inputs!$D$12+Inputs!$D$13),A38&lt;=(Inputs!$D$12+Inputs!$D$13)+Inputs!$D$18),Inputs!$D$19,0)</f>
        <v/>
      </c>
      <c r="E38" s="15">
        <f>IF(AND(A38&gt;(Inputs!$D$12+Inputs!$D$13),A38&lt;=(Inputs!$D$12+Inputs!$D$13)+Inputs!$D$18),Inputs!$D$15*Inputs!$D$16,0)</f>
        <v/>
      </c>
      <c r="F38" s="15">
        <f>IF(AND(A38&gt;(Inputs!$D$12+Inputs!$D$13)+Inputs!$D$14,A38&lt;=(Inputs!$D$12+Inputs!$D$13)+Inputs!$D$14+Inputs!$D$18),Inputs!$D$15*Inputs!$D$16*Inputs!$D$17,0)</f>
        <v/>
      </c>
      <c r="G38" s="15">
        <f>F38*1000*Inputs!$D$7/1e6</f>
        <v/>
      </c>
      <c r="H38" s="15">
        <f>G38-B38-C38-D38</f>
        <v/>
      </c>
      <c r="I38" s="16">
        <f>1/(1+Inputs!$D$20)^A38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IF(A39&lt;=Inputs!$D$12,Inputs!$D$11/Inputs!$D$12,0)</f>
        <v/>
      </c>
      <c r="C39" s="15">
        <f>IF(A39=Inputs!$D$12,Inputs!$D$24,0)</f>
        <v/>
      </c>
      <c r="D39" s="15">
        <f>IF(AND(A39&gt;(Inputs!$D$12+Inputs!$D$13),A39&lt;=(Inputs!$D$12+Inputs!$D$13)+Inputs!$D$18),Inputs!$D$19,0)</f>
        <v/>
      </c>
      <c r="E39" s="15">
        <f>IF(AND(A39&gt;(Inputs!$D$12+Inputs!$D$13),A39&lt;=(Inputs!$D$12+Inputs!$D$13)+Inputs!$D$18),Inputs!$D$15*Inputs!$D$16,0)</f>
        <v/>
      </c>
      <c r="F39" s="15">
        <f>IF(AND(A39&gt;(Inputs!$D$12+Inputs!$D$13)+Inputs!$D$14,A39&lt;=(Inputs!$D$12+Inputs!$D$13)+Inputs!$D$14+Inputs!$D$18),Inputs!$D$15*Inputs!$D$16*Inputs!$D$17,0)</f>
        <v/>
      </c>
      <c r="G39" s="15">
        <f>F39*1000*Inputs!$D$7/1e6</f>
        <v/>
      </c>
      <c r="H39" s="15">
        <f>G39-B39-C39-D39</f>
        <v/>
      </c>
      <c r="I39" s="16">
        <f>1/(1+Inputs!$D$20)^A39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IF(A40&lt;=Inputs!$D$12,Inputs!$D$11/Inputs!$D$12,0)</f>
        <v/>
      </c>
      <c r="C40" s="15">
        <f>IF(A40=Inputs!$D$12,Inputs!$D$24,0)</f>
        <v/>
      </c>
      <c r="D40" s="15">
        <f>IF(AND(A40&gt;(Inputs!$D$12+Inputs!$D$13),A40&lt;=(Inputs!$D$12+Inputs!$D$13)+Inputs!$D$18),Inputs!$D$19,0)</f>
        <v/>
      </c>
      <c r="E40" s="15">
        <f>IF(AND(A40&gt;(Inputs!$D$12+Inputs!$D$13),A40&lt;=(Inputs!$D$12+Inputs!$D$13)+Inputs!$D$18),Inputs!$D$15*Inputs!$D$16,0)</f>
        <v/>
      </c>
      <c r="F40" s="15">
        <f>IF(AND(A40&gt;(Inputs!$D$12+Inputs!$D$13)+Inputs!$D$14,A40&lt;=(Inputs!$D$12+Inputs!$D$13)+Inputs!$D$14+Inputs!$D$18),Inputs!$D$15*Inputs!$D$16*Inputs!$D$17,0)</f>
        <v/>
      </c>
      <c r="G40" s="15">
        <f>F40*1000*Inputs!$D$7/1e6</f>
        <v/>
      </c>
      <c r="H40" s="15">
        <f>G40-B40-C40-D40</f>
        <v/>
      </c>
      <c r="I40" s="16">
        <f>1/(1+Inputs!$D$20)^A40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IF(A41&lt;=Inputs!$D$12,Inputs!$D$11/Inputs!$D$12,0)</f>
        <v/>
      </c>
      <c r="C41" s="15">
        <f>IF(A41=Inputs!$D$12,Inputs!$D$24,0)</f>
        <v/>
      </c>
      <c r="D41" s="15">
        <f>IF(AND(A41&gt;(Inputs!$D$12+Inputs!$D$13),A41&lt;=(Inputs!$D$12+Inputs!$D$13)+Inputs!$D$18),Inputs!$D$19,0)</f>
        <v/>
      </c>
      <c r="E41" s="15">
        <f>IF(AND(A41&gt;(Inputs!$D$12+Inputs!$D$13),A41&lt;=(Inputs!$D$12+Inputs!$D$13)+Inputs!$D$18),Inputs!$D$15*Inputs!$D$16,0)</f>
        <v/>
      </c>
      <c r="F41" s="15">
        <f>IF(AND(A41&gt;(Inputs!$D$12+Inputs!$D$13)+Inputs!$D$14,A41&lt;=(Inputs!$D$12+Inputs!$D$13)+Inputs!$D$14+Inputs!$D$18),Inputs!$D$15*Inputs!$D$16*Inputs!$D$17,0)</f>
        <v/>
      </c>
      <c r="G41" s="15">
        <f>F41*1000*Inputs!$D$7/1e6</f>
        <v/>
      </c>
      <c r="H41" s="15">
        <f>G41-B41-C41-D41</f>
        <v/>
      </c>
      <c r="I41" s="16">
        <f>1/(1+Inputs!$D$20)^A41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IF(A42&lt;=Inputs!$D$12,Inputs!$D$11/Inputs!$D$12,0)</f>
        <v/>
      </c>
      <c r="C42" s="15">
        <f>IF(A42=Inputs!$D$12,Inputs!$D$24,0)</f>
        <v/>
      </c>
      <c r="D42" s="15">
        <f>IF(AND(A42&gt;(Inputs!$D$12+Inputs!$D$13),A42&lt;=(Inputs!$D$12+Inputs!$D$13)+Inputs!$D$18),Inputs!$D$19,0)</f>
        <v/>
      </c>
      <c r="E42" s="15">
        <f>IF(AND(A42&gt;(Inputs!$D$12+Inputs!$D$13),A42&lt;=(Inputs!$D$12+Inputs!$D$13)+Inputs!$D$18),Inputs!$D$15*Inputs!$D$16,0)</f>
        <v/>
      </c>
      <c r="F42" s="15">
        <f>IF(AND(A42&gt;(Inputs!$D$12+Inputs!$D$13)+Inputs!$D$14,A42&lt;=(Inputs!$D$12+Inputs!$D$13)+Inputs!$D$14+Inputs!$D$18),Inputs!$D$15*Inputs!$D$16*Inputs!$D$17,0)</f>
        <v/>
      </c>
      <c r="G42" s="15">
        <f>F42*1000*Inputs!$D$7/1e6</f>
        <v/>
      </c>
      <c r="H42" s="15">
        <f>G42-B42-C42-D42</f>
        <v/>
      </c>
      <c r="I42" s="16">
        <f>1/(1+Inputs!$D$20)^A42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IF(A43&lt;=Inputs!$D$12,Inputs!$D$11/Inputs!$D$12,0)</f>
        <v/>
      </c>
      <c r="C43" s="15">
        <f>IF(A43=Inputs!$D$12,Inputs!$D$24,0)</f>
        <v/>
      </c>
      <c r="D43" s="15">
        <f>IF(AND(A43&gt;(Inputs!$D$12+Inputs!$D$13),A43&lt;=(Inputs!$D$12+Inputs!$D$13)+Inputs!$D$18),Inputs!$D$19,0)</f>
        <v/>
      </c>
      <c r="E43" s="15">
        <f>IF(AND(A43&gt;(Inputs!$D$12+Inputs!$D$13),A43&lt;=(Inputs!$D$12+Inputs!$D$13)+Inputs!$D$18),Inputs!$D$15*Inputs!$D$16,0)</f>
        <v/>
      </c>
      <c r="F43" s="15">
        <f>IF(AND(A43&gt;(Inputs!$D$12+Inputs!$D$13)+Inputs!$D$14,A43&lt;=(Inputs!$D$12+Inputs!$D$13)+Inputs!$D$14+Inputs!$D$18),Inputs!$D$15*Inputs!$D$16*Inputs!$D$17,0)</f>
        <v/>
      </c>
      <c r="G43" s="15">
        <f>F43*1000*Inputs!$D$7/1e6</f>
        <v/>
      </c>
      <c r="H43" s="15">
        <f>G43-B43-C43-D43</f>
        <v/>
      </c>
      <c r="I43" s="16">
        <f>1/(1+Inputs!$D$20)^A43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IF(A44&lt;=Inputs!$D$12,Inputs!$D$11/Inputs!$D$12,0)</f>
        <v/>
      </c>
      <c r="C44" s="15">
        <f>IF(A44=Inputs!$D$12,Inputs!$D$24,0)</f>
        <v/>
      </c>
      <c r="D44" s="15">
        <f>IF(AND(A44&gt;(Inputs!$D$12+Inputs!$D$13),A44&lt;=(Inputs!$D$12+Inputs!$D$13)+Inputs!$D$18),Inputs!$D$19,0)</f>
        <v/>
      </c>
      <c r="E44" s="15">
        <f>IF(AND(A44&gt;(Inputs!$D$12+Inputs!$D$13),A44&lt;=(Inputs!$D$12+Inputs!$D$13)+Inputs!$D$18),Inputs!$D$15*Inputs!$D$16,0)</f>
        <v/>
      </c>
      <c r="F44" s="15">
        <f>IF(AND(A44&gt;(Inputs!$D$12+Inputs!$D$13)+Inputs!$D$14,A44&lt;=(Inputs!$D$12+Inputs!$D$13)+Inputs!$D$14+Inputs!$D$18),Inputs!$D$15*Inputs!$D$16*Inputs!$D$17,0)</f>
        <v/>
      </c>
      <c r="G44" s="15">
        <f>F44*1000*Inputs!$D$7/1e6</f>
        <v/>
      </c>
      <c r="H44" s="15">
        <f>G44-B44-C44-D44</f>
        <v/>
      </c>
      <c r="I44" s="16">
        <f>1/(1+Inputs!$D$20)^A44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IF(A45&lt;=Inputs!$D$12,Inputs!$D$11/Inputs!$D$12,0)</f>
        <v/>
      </c>
      <c r="C45" s="15">
        <f>IF(A45=Inputs!$D$12,Inputs!$D$24,0)</f>
        <v/>
      </c>
      <c r="D45" s="15">
        <f>IF(AND(A45&gt;(Inputs!$D$12+Inputs!$D$13),A45&lt;=(Inputs!$D$12+Inputs!$D$13)+Inputs!$D$18),Inputs!$D$19,0)</f>
        <v/>
      </c>
      <c r="E45" s="15">
        <f>IF(AND(A45&gt;(Inputs!$D$12+Inputs!$D$13),A45&lt;=(Inputs!$D$12+Inputs!$D$13)+Inputs!$D$18),Inputs!$D$15*Inputs!$D$16,0)</f>
        <v/>
      </c>
      <c r="F45" s="15">
        <f>IF(AND(A45&gt;(Inputs!$D$12+Inputs!$D$13)+Inputs!$D$14,A45&lt;=(Inputs!$D$12+Inputs!$D$13)+Inputs!$D$14+Inputs!$D$18),Inputs!$D$15*Inputs!$D$16*Inputs!$D$17,0)</f>
        <v/>
      </c>
      <c r="G45" s="15">
        <f>F45*1000*Inputs!$D$7/1e6</f>
        <v/>
      </c>
      <c r="H45" s="15">
        <f>G45-B45-C45-D45</f>
        <v/>
      </c>
      <c r="I45" s="16">
        <f>1/(1+Inputs!$D$20)^A45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-B48+Inputs!$D$21*B49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IFERROR(B53/Inputs!$D$6,"n/a")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Bull scenario — annual cash flow (illustrative)</t>
        </is>
      </c>
    </row>
    <row r="2">
      <c r="A2" s="2" t="inlineStr">
        <is>
          <t>All values driven by Inputs!E. US$ millions unless stated. SCENARIO OUTPUT, NOT A FORECAST.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Year</t>
        </is>
      </c>
      <c r="B5" s="6" t="inlineStr">
        <is>
          <t>Capex ($M)</t>
        </is>
      </c>
      <c r="C5" s="6" t="inlineStr">
        <is>
          <t>Launch ($M)</t>
        </is>
      </c>
      <c r="D5" s="6" t="inlineStr">
        <is>
          <t>Opex ($M)</t>
        </is>
      </c>
      <c r="E5" s="6" t="inlineStr">
        <is>
          <t>Regolith shipped (t)</t>
        </is>
      </c>
      <c r="F5" s="6" t="inlineStr">
        <is>
          <t>Regolith delivered (t)</t>
        </is>
      </c>
      <c r="G5" s="6" t="inlineStr">
        <is>
          <t>Revenue ($M)</t>
        </is>
      </c>
      <c r="H5" s="6" t="inlineStr">
        <is>
          <t>Net cash flow ($M)</t>
        </is>
      </c>
      <c r="I5" s="6" t="inlineStr">
        <is>
          <t>Discount factor</t>
        </is>
      </c>
      <c r="J5" s="6" t="inlineStr">
        <is>
          <t>PV net ($M)</t>
        </is>
      </c>
      <c r="K5" s="6" t="inlineStr">
        <is>
          <t>PV capex+launch ($M)</t>
        </is>
      </c>
      <c r="L5" s="6" t="inlineStr">
        <is>
          <t>PV revenue-opex ($M)</t>
        </is>
      </c>
      <c r="M5" s="6" t="inlineStr">
        <is>
          <t>PV delivered (t)</t>
        </is>
      </c>
    </row>
    <row r="6">
      <c r="A6" t="n">
        <v>1</v>
      </c>
      <c r="B6" s="15">
        <f>IF(A6&lt;=Inputs!$E$12,Inputs!$E$11/Inputs!$E$12,0)</f>
        <v/>
      </c>
      <c r="C6" s="15">
        <f>IF(A6=Inputs!$E$12,Inputs!$E$24,0)</f>
        <v/>
      </c>
      <c r="D6" s="15">
        <f>IF(AND(A6&gt;(Inputs!$E$12+Inputs!$E$13),A6&lt;=(Inputs!$E$12+Inputs!$E$13)+Inputs!$E$18),Inputs!$E$19,0)</f>
        <v/>
      </c>
      <c r="E6" s="15">
        <f>IF(AND(A6&gt;(Inputs!$E$12+Inputs!$E$13),A6&lt;=(Inputs!$E$12+Inputs!$E$13)+Inputs!$E$18),Inputs!$E$15*Inputs!$E$16,0)</f>
        <v/>
      </c>
      <c r="F6" s="15">
        <f>IF(AND(A6&gt;(Inputs!$E$12+Inputs!$E$13)+Inputs!$E$14,A6&lt;=(Inputs!$E$12+Inputs!$E$13)+Inputs!$E$14+Inputs!$E$18),Inputs!$E$15*Inputs!$E$16*Inputs!$E$17,0)</f>
        <v/>
      </c>
      <c r="G6" s="15">
        <f>F6*1000*Inputs!$E$7/1e6</f>
        <v/>
      </c>
      <c r="H6" s="15">
        <f>G6-B6-C6-D6</f>
        <v/>
      </c>
      <c r="I6" s="16">
        <f>1/(1+Inputs!$E$20)^A6</f>
        <v/>
      </c>
      <c r="J6" s="15">
        <f>H6*I6</f>
        <v/>
      </c>
      <c r="K6" s="15">
        <f>(B6+C6)*I6</f>
        <v/>
      </c>
      <c r="L6" s="15">
        <f>(G6-D6)*I6</f>
        <v/>
      </c>
      <c r="M6" s="15">
        <f>F6*I6</f>
        <v/>
      </c>
    </row>
    <row r="7">
      <c r="A7" t="n">
        <v>2</v>
      </c>
      <c r="B7" s="15">
        <f>IF(A7&lt;=Inputs!$E$12,Inputs!$E$11/Inputs!$E$12,0)</f>
        <v/>
      </c>
      <c r="C7" s="15">
        <f>IF(A7=Inputs!$E$12,Inputs!$E$24,0)</f>
        <v/>
      </c>
      <c r="D7" s="15">
        <f>IF(AND(A7&gt;(Inputs!$E$12+Inputs!$E$13),A7&lt;=(Inputs!$E$12+Inputs!$E$13)+Inputs!$E$18),Inputs!$E$19,0)</f>
        <v/>
      </c>
      <c r="E7" s="15">
        <f>IF(AND(A7&gt;(Inputs!$E$12+Inputs!$E$13),A7&lt;=(Inputs!$E$12+Inputs!$E$13)+Inputs!$E$18),Inputs!$E$15*Inputs!$E$16,0)</f>
        <v/>
      </c>
      <c r="F7" s="15">
        <f>IF(AND(A7&gt;(Inputs!$E$12+Inputs!$E$13)+Inputs!$E$14,A7&lt;=(Inputs!$E$12+Inputs!$E$13)+Inputs!$E$14+Inputs!$E$18),Inputs!$E$15*Inputs!$E$16*Inputs!$E$17,0)</f>
        <v/>
      </c>
      <c r="G7" s="15">
        <f>F7*1000*Inputs!$E$7/1e6</f>
        <v/>
      </c>
      <c r="H7" s="15">
        <f>G7-B7-C7-D7</f>
        <v/>
      </c>
      <c r="I7" s="16">
        <f>1/(1+Inputs!$E$20)^A7</f>
        <v/>
      </c>
      <c r="J7" s="15">
        <f>H7*I7</f>
        <v/>
      </c>
      <c r="K7" s="15">
        <f>(B7+C7)*I7</f>
        <v/>
      </c>
      <c r="L7" s="15">
        <f>(G7-D7)*I7</f>
        <v/>
      </c>
      <c r="M7" s="15">
        <f>F7*I7</f>
        <v/>
      </c>
    </row>
    <row r="8">
      <c r="A8" t="n">
        <v>3</v>
      </c>
      <c r="B8" s="15">
        <f>IF(A8&lt;=Inputs!$E$12,Inputs!$E$11/Inputs!$E$12,0)</f>
        <v/>
      </c>
      <c r="C8" s="15">
        <f>IF(A8=Inputs!$E$12,Inputs!$E$24,0)</f>
        <v/>
      </c>
      <c r="D8" s="15">
        <f>IF(AND(A8&gt;(Inputs!$E$12+Inputs!$E$13),A8&lt;=(Inputs!$E$12+Inputs!$E$13)+Inputs!$E$18),Inputs!$E$19,0)</f>
        <v/>
      </c>
      <c r="E8" s="15">
        <f>IF(AND(A8&gt;(Inputs!$E$12+Inputs!$E$13),A8&lt;=(Inputs!$E$12+Inputs!$E$13)+Inputs!$E$18),Inputs!$E$15*Inputs!$E$16,0)</f>
        <v/>
      </c>
      <c r="F8" s="15">
        <f>IF(AND(A8&gt;(Inputs!$E$12+Inputs!$E$13)+Inputs!$E$14,A8&lt;=(Inputs!$E$12+Inputs!$E$13)+Inputs!$E$14+Inputs!$E$18),Inputs!$E$15*Inputs!$E$16*Inputs!$E$17,0)</f>
        <v/>
      </c>
      <c r="G8" s="15">
        <f>F8*1000*Inputs!$E$7/1e6</f>
        <v/>
      </c>
      <c r="H8" s="15">
        <f>G8-B8-C8-D8</f>
        <v/>
      </c>
      <c r="I8" s="16">
        <f>1/(1+Inputs!$E$20)^A8</f>
        <v/>
      </c>
      <c r="J8" s="15">
        <f>H8*I8</f>
        <v/>
      </c>
      <c r="K8" s="15">
        <f>(B8+C8)*I8</f>
        <v/>
      </c>
      <c r="L8" s="15">
        <f>(G8-D8)*I8</f>
        <v/>
      </c>
      <c r="M8" s="15">
        <f>F8*I8</f>
        <v/>
      </c>
    </row>
    <row r="9">
      <c r="A9" t="n">
        <v>4</v>
      </c>
      <c r="B9" s="15">
        <f>IF(A9&lt;=Inputs!$E$12,Inputs!$E$11/Inputs!$E$12,0)</f>
        <v/>
      </c>
      <c r="C9" s="15">
        <f>IF(A9=Inputs!$E$12,Inputs!$E$24,0)</f>
        <v/>
      </c>
      <c r="D9" s="15">
        <f>IF(AND(A9&gt;(Inputs!$E$12+Inputs!$E$13),A9&lt;=(Inputs!$E$12+Inputs!$E$13)+Inputs!$E$18),Inputs!$E$19,0)</f>
        <v/>
      </c>
      <c r="E9" s="15">
        <f>IF(AND(A9&gt;(Inputs!$E$12+Inputs!$E$13),A9&lt;=(Inputs!$E$12+Inputs!$E$13)+Inputs!$E$18),Inputs!$E$15*Inputs!$E$16,0)</f>
        <v/>
      </c>
      <c r="F9" s="15">
        <f>IF(AND(A9&gt;(Inputs!$E$12+Inputs!$E$13)+Inputs!$E$14,A9&lt;=(Inputs!$E$12+Inputs!$E$13)+Inputs!$E$14+Inputs!$E$18),Inputs!$E$15*Inputs!$E$16*Inputs!$E$17,0)</f>
        <v/>
      </c>
      <c r="G9" s="15">
        <f>F9*1000*Inputs!$E$7/1e6</f>
        <v/>
      </c>
      <c r="H9" s="15">
        <f>G9-B9-C9-D9</f>
        <v/>
      </c>
      <c r="I9" s="16">
        <f>1/(1+Inputs!$E$20)^A9</f>
        <v/>
      </c>
      <c r="J9" s="15">
        <f>H9*I9</f>
        <v/>
      </c>
      <c r="K9" s="15">
        <f>(B9+C9)*I9</f>
        <v/>
      </c>
      <c r="L9" s="15">
        <f>(G9-D9)*I9</f>
        <v/>
      </c>
      <c r="M9" s="15">
        <f>F9*I9</f>
        <v/>
      </c>
    </row>
    <row r="10">
      <c r="A10" t="n">
        <v>5</v>
      </c>
      <c r="B10" s="15">
        <f>IF(A10&lt;=Inputs!$E$12,Inputs!$E$11/Inputs!$E$12,0)</f>
        <v/>
      </c>
      <c r="C10" s="15">
        <f>IF(A10=Inputs!$E$12,Inputs!$E$24,0)</f>
        <v/>
      </c>
      <c r="D10" s="15">
        <f>IF(AND(A10&gt;(Inputs!$E$12+Inputs!$E$13),A10&lt;=(Inputs!$E$12+Inputs!$E$13)+Inputs!$E$18),Inputs!$E$19,0)</f>
        <v/>
      </c>
      <c r="E10" s="15">
        <f>IF(AND(A10&gt;(Inputs!$E$12+Inputs!$E$13),A10&lt;=(Inputs!$E$12+Inputs!$E$13)+Inputs!$E$18),Inputs!$E$15*Inputs!$E$16,0)</f>
        <v/>
      </c>
      <c r="F10" s="15">
        <f>IF(AND(A10&gt;(Inputs!$E$12+Inputs!$E$13)+Inputs!$E$14,A10&lt;=(Inputs!$E$12+Inputs!$E$13)+Inputs!$E$14+Inputs!$E$18),Inputs!$E$15*Inputs!$E$16*Inputs!$E$17,0)</f>
        <v/>
      </c>
      <c r="G10" s="15">
        <f>F10*1000*Inputs!$E$7/1e6</f>
        <v/>
      </c>
      <c r="H10" s="15">
        <f>G10-B10-C10-D10</f>
        <v/>
      </c>
      <c r="I10" s="16">
        <f>1/(1+Inputs!$E$20)^A10</f>
        <v/>
      </c>
      <c r="J10" s="15">
        <f>H10*I10</f>
        <v/>
      </c>
      <c r="K10" s="15">
        <f>(B10+C10)*I10</f>
        <v/>
      </c>
      <c r="L10" s="15">
        <f>(G10-D10)*I10</f>
        <v/>
      </c>
      <c r="M10" s="15">
        <f>F10*I10</f>
        <v/>
      </c>
    </row>
    <row r="11">
      <c r="A11" t="n">
        <v>6</v>
      </c>
      <c r="B11" s="15">
        <f>IF(A11&lt;=Inputs!$E$12,Inputs!$E$11/Inputs!$E$12,0)</f>
        <v/>
      </c>
      <c r="C11" s="15">
        <f>IF(A11=Inputs!$E$12,Inputs!$E$24,0)</f>
        <v/>
      </c>
      <c r="D11" s="15">
        <f>IF(AND(A11&gt;(Inputs!$E$12+Inputs!$E$13),A11&lt;=(Inputs!$E$12+Inputs!$E$13)+Inputs!$E$18),Inputs!$E$19,0)</f>
        <v/>
      </c>
      <c r="E11" s="15">
        <f>IF(AND(A11&gt;(Inputs!$E$12+Inputs!$E$13),A11&lt;=(Inputs!$E$12+Inputs!$E$13)+Inputs!$E$18),Inputs!$E$15*Inputs!$E$16,0)</f>
        <v/>
      </c>
      <c r="F11" s="15">
        <f>IF(AND(A11&gt;(Inputs!$E$12+Inputs!$E$13)+Inputs!$E$14,A11&lt;=(Inputs!$E$12+Inputs!$E$13)+Inputs!$E$14+Inputs!$E$18),Inputs!$E$15*Inputs!$E$16*Inputs!$E$17,0)</f>
        <v/>
      </c>
      <c r="G11" s="15">
        <f>F11*1000*Inputs!$E$7/1e6</f>
        <v/>
      </c>
      <c r="H11" s="15">
        <f>G11-B11-C11-D11</f>
        <v/>
      </c>
      <c r="I11" s="16">
        <f>1/(1+Inputs!$E$20)^A11</f>
        <v/>
      </c>
      <c r="J11" s="15">
        <f>H11*I11</f>
        <v/>
      </c>
      <c r="K11" s="15">
        <f>(B11+C11)*I11</f>
        <v/>
      </c>
      <c r="L11" s="15">
        <f>(G11-D11)*I11</f>
        <v/>
      </c>
      <c r="M11" s="15">
        <f>F11*I11</f>
        <v/>
      </c>
    </row>
    <row r="12">
      <c r="A12" t="n">
        <v>7</v>
      </c>
      <c r="B12" s="15">
        <f>IF(A12&lt;=Inputs!$E$12,Inputs!$E$11/Inputs!$E$12,0)</f>
        <v/>
      </c>
      <c r="C12" s="15">
        <f>IF(A12=Inputs!$E$12,Inputs!$E$24,0)</f>
        <v/>
      </c>
      <c r="D12" s="15">
        <f>IF(AND(A12&gt;(Inputs!$E$12+Inputs!$E$13),A12&lt;=(Inputs!$E$12+Inputs!$E$13)+Inputs!$E$18),Inputs!$E$19,0)</f>
        <v/>
      </c>
      <c r="E12" s="15">
        <f>IF(AND(A12&gt;(Inputs!$E$12+Inputs!$E$13),A12&lt;=(Inputs!$E$12+Inputs!$E$13)+Inputs!$E$18),Inputs!$E$15*Inputs!$E$16,0)</f>
        <v/>
      </c>
      <c r="F12" s="15">
        <f>IF(AND(A12&gt;(Inputs!$E$12+Inputs!$E$13)+Inputs!$E$14,A12&lt;=(Inputs!$E$12+Inputs!$E$13)+Inputs!$E$14+Inputs!$E$18),Inputs!$E$15*Inputs!$E$16*Inputs!$E$17,0)</f>
        <v/>
      </c>
      <c r="G12" s="15">
        <f>F12*1000*Inputs!$E$7/1e6</f>
        <v/>
      </c>
      <c r="H12" s="15">
        <f>G12-B12-C12-D12</f>
        <v/>
      </c>
      <c r="I12" s="16">
        <f>1/(1+Inputs!$E$20)^A12</f>
        <v/>
      </c>
      <c r="J12" s="15">
        <f>H12*I12</f>
        <v/>
      </c>
      <c r="K12" s="15">
        <f>(B12+C12)*I12</f>
        <v/>
      </c>
      <c r="L12" s="15">
        <f>(G12-D12)*I12</f>
        <v/>
      </c>
      <c r="M12" s="15">
        <f>F12*I12</f>
        <v/>
      </c>
    </row>
    <row r="13">
      <c r="A13" t="n">
        <v>8</v>
      </c>
      <c r="B13" s="15">
        <f>IF(A13&lt;=Inputs!$E$12,Inputs!$E$11/Inputs!$E$12,0)</f>
        <v/>
      </c>
      <c r="C13" s="15">
        <f>IF(A13=Inputs!$E$12,Inputs!$E$24,0)</f>
        <v/>
      </c>
      <c r="D13" s="15">
        <f>IF(AND(A13&gt;(Inputs!$E$12+Inputs!$E$13),A13&lt;=(Inputs!$E$12+Inputs!$E$13)+Inputs!$E$18),Inputs!$E$19,0)</f>
        <v/>
      </c>
      <c r="E13" s="15">
        <f>IF(AND(A13&gt;(Inputs!$E$12+Inputs!$E$13),A13&lt;=(Inputs!$E$12+Inputs!$E$13)+Inputs!$E$18),Inputs!$E$15*Inputs!$E$16,0)</f>
        <v/>
      </c>
      <c r="F13" s="15">
        <f>IF(AND(A13&gt;(Inputs!$E$12+Inputs!$E$13)+Inputs!$E$14,A13&lt;=(Inputs!$E$12+Inputs!$E$13)+Inputs!$E$14+Inputs!$E$18),Inputs!$E$15*Inputs!$E$16*Inputs!$E$17,0)</f>
        <v/>
      </c>
      <c r="G13" s="15">
        <f>F13*1000*Inputs!$E$7/1e6</f>
        <v/>
      </c>
      <c r="H13" s="15">
        <f>G13-B13-C13-D13</f>
        <v/>
      </c>
      <c r="I13" s="16">
        <f>1/(1+Inputs!$E$20)^A13</f>
        <v/>
      </c>
      <c r="J13" s="15">
        <f>H13*I13</f>
        <v/>
      </c>
      <c r="K13" s="15">
        <f>(B13+C13)*I13</f>
        <v/>
      </c>
      <c r="L13" s="15">
        <f>(G13-D13)*I13</f>
        <v/>
      </c>
      <c r="M13" s="15">
        <f>F13*I13</f>
        <v/>
      </c>
    </row>
    <row r="14">
      <c r="A14" t="n">
        <v>9</v>
      </c>
      <c r="B14" s="15">
        <f>IF(A14&lt;=Inputs!$E$12,Inputs!$E$11/Inputs!$E$12,0)</f>
        <v/>
      </c>
      <c r="C14" s="15">
        <f>IF(A14=Inputs!$E$12,Inputs!$E$24,0)</f>
        <v/>
      </c>
      <c r="D14" s="15">
        <f>IF(AND(A14&gt;(Inputs!$E$12+Inputs!$E$13),A14&lt;=(Inputs!$E$12+Inputs!$E$13)+Inputs!$E$18),Inputs!$E$19,0)</f>
        <v/>
      </c>
      <c r="E14" s="15">
        <f>IF(AND(A14&gt;(Inputs!$E$12+Inputs!$E$13),A14&lt;=(Inputs!$E$12+Inputs!$E$13)+Inputs!$E$18),Inputs!$E$15*Inputs!$E$16,0)</f>
        <v/>
      </c>
      <c r="F14" s="15">
        <f>IF(AND(A14&gt;(Inputs!$E$12+Inputs!$E$13)+Inputs!$E$14,A14&lt;=(Inputs!$E$12+Inputs!$E$13)+Inputs!$E$14+Inputs!$E$18),Inputs!$E$15*Inputs!$E$16*Inputs!$E$17,0)</f>
        <v/>
      </c>
      <c r="G14" s="15">
        <f>F14*1000*Inputs!$E$7/1e6</f>
        <v/>
      </c>
      <c r="H14" s="15">
        <f>G14-B14-C14-D14</f>
        <v/>
      </c>
      <c r="I14" s="16">
        <f>1/(1+Inputs!$E$20)^A14</f>
        <v/>
      </c>
      <c r="J14" s="15">
        <f>H14*I14</f>
        <v/>
      </c>
      <c r="K14" s="15">
        <f>(B14+C14)*I14</f>
        <v/>
      </c>
      <c r="L14" s="15">
        <f>(G14-D14)*I14</f>
        <v/>
      </c>
      <c r="M14" s="15">
        <f>F14*I14</f>
        <v/>
      </c>
    </row>
    <row r="15">
      <c r="A15" t="n">
        <v>10</v>
      </c>
      <c r="B15" s="15">
        <f>IF(A15&lt;=Inputs!$E$12,Inputs!$E$11/Inputs!$E$12,0)</f>
        <v/>
      </c>
      <c r="C15" s="15">
        <f>IF(A15=Inputs!$E$12,Inputs!$E$24,0)</f>
        <v/>
      </c>
      <c r="D15" s="15">
        <f>IF(AND(A15&gt;(Inputs!$E$12+Inputs!$E$13),A15&lt;=(Inputs!$E$12+Inputs!$E$13)+Inputs!$E$18),Inputs!$E$19,0)</f>
        <v/>
      </c>
      <c r="E15" s="15">
        <f>IF(AND(A15&gt;(Inputs!$E$12+Inputs!$E$13),A15&lt;=(Inputs!$E$12+Inputs!$E$13)+Inputs!$E$18),Inputs!$E$15*Inputs!$E$16,0)</f>
        <v/>
      </c>
      <c r="F15" s="15">
        <f>IF(AND(A15&gt;(Inputs!$E$12+Inputs!$E$13)+Inputs!$E$14,A15&lt;=(Inputs!$E$12+Inputs!$E$13)+Inputs!$E$14+Inputs!$E$18),Inputs!$E$15*Inputs!$E$16*Inputs!$E$17,0)</f>
        <v/>
      </c>
      <c r="G15" s="15">
        <f>F15*1000*Inputs!$E$7/1e6</f>
        <v/>
      </c>
      <c r="H15" s="15">
        <f>G15-B15-C15-D15</f>
        <v/>
      </c>
      <c r="I15" s="16">
        <f>1/(1+Inputs!$E$20)^A15</f>
        <v/>
      </c>
      <c r="J15" s="15">
        <f>H15*I15</f>
        <v/>
      </c>
      <c r="K15" s="15">
        <f>(B15+C15)*I15</f>
        <v/>
      </c>
      <c r="L15" s="15">
        <f>(G15-D15)*I15</f>
        <v/>
      </c>
      <c r="M15" s="15">
        <f>F15*I15</f>
        <v/>
      </c>
    </row>
    <row r="16">
      <c r="A16" t="n">
        <v>11</v>
      </c>
      <c r="B16" s="15">
        <f>IF(A16&lt;=Inputs!$E$12,Inputs!$E$11/Inputs!$E$12,0)</f>
        <v/>
      </c>
      <c r="C16" s="15">
        <f>IF(A16=Inputs!$E$12,Inputs!$E$24,0)</f>
        <v/>
      </c>
      <c r="D16" s="15">
        <f>IF(AND(A16&gt;(Inputs!$E$12+Inputs!$E$13),A16&lt;=(Inputs!$E$12+Inputs!$E$13)+Inputs!$E$18),Inputs!$E$19,0)</f>
        <v/>
      </c>
      <c r="E16" s="15">
        <f>IF(AND(A16&gt;(Inputs!$E$12+Inputs!$E$13),A16&lt;=(Inputs!$E$12+Inputs!$E$13)+Inputs!$E$18),Inputs!$E$15*Inputs!$E$16,0)</f>
        <v/>
      </c>
      <c r="F16" s="15">
        <f>IF(AND(A16&gt;(Inputs!$E$12+Inputs!$E$13)+Inputs!$E$14,A16&lt;=(Inputs!$E$12+Inputs!$E$13)+Inputs!$E$14+Inputs!$E$18),Inputs!$E$15*Inputs!$E$16*Inputs!$E$17,0)</f>
        <v/>
      </c>
      <c r="G16" s="15">
        <f>F16*1000*Inputs!$E$7/1e6</f>
        <v/>
      </c>
      <c r="H16" s="15">
        <f>G16-B16-C16-D16</f>
        <v/>
      </c>
      <c r="I16" s="16">
        <f>1/(1+Inputs!$E$20)^A16</f>
        <v/>
      </c>
      <c r="J16" s="15">
        <f>H16*I16</f>
        <v/>
      </c>
      <c r="K16" s="15">
        <f>(B16+C16)*I16</f>
        <v/>
      </c>
      <c r="L16" s="15">
        <f>(G16-D16)*I16</f>
        <v/>
      </c>
      <c r="M16" s="15">
        <f>F16*I16</f>
        <v/>
      </c>
    </row>
    <row r="17">
      <c r="A17" t="n">
        <v>12</v>
      </c>
      <c r="B17" s="15">
        <f>IF(A17&lt;=Inputs!$E$12,Inputs!$E$11/Inputs!$E$12,0)</f>
        <v/>
      </c>
      <c r="C17" s="15">
        <f>IF(A17=Inputs!$E$12,Inputs!$E$24,0)</f>
        <v/>
      </c>
      <c r="D17" s="15">
        <f>IF(AND(A17&gt;(Inputs!$E$12+Inputs!$E$13),A17&lt;=(Inputs!$E$12+Inputs!$E$13)+Inputs!$E$18),Inputs!$E$19,0)</f>
        <v/>
      </c>
      <c r="E17" s="15">
        <f>IF(AND(A17&gt;(Inputs!$E$12+Inputs!$E$13),A17&lt;=(Inputs!$E$12+Inputs!$E$13)+Inputs!$E$18),Inputs!$E$15*Inputs!$E$16,0)</f>
        <v/>
      </c>
      <c r="F17" s="15">
        <f>IF(AND(A17&gt;(Inputs!$E$12+Inputs!$E$13)+Inputs!$E$14,A17&lt;=(Inputs!$E$12+Inputs!$E$13)+Inputs!$E$14+Inputs!$E$18),Inputs!$E$15*Inputs!$E$16*Inputs!$E$17,0)</f>
        <v/>
      </c>
      <c r="G17" s="15">
        <f>F17*1000*Inputs!$E$7/1e6</f>
        <v/>
      </c>
      <c r="H17" s="15">
        <f>G17-B17-C17-D17</f>
        <v/>
      </c>
      <c r="I17" s="16">
        <f>1/(1+Inputs!$E$20)^A17</f>
        <v/>
      </c>
      <c r="J17" s="15">
        <f>H17*I17</f>
        <v/>
      </c>
      <c r="K17" s="15">
        <f>(B17+C17)*I17</f>
        <v/>
      </c>
      <c r="L17" s="15">
        <f>(G17-D17)*I17</f>
        <v/>
      </c>
      <c r="M17" s="15">
        <f>F17*I17</f>
        <v/>
      </c>
    </row>
    <row r="18">
      <c r="A18" t="n">
        <v>13</v>
      </c>
      <c r="B18" s="15">
        <f>IF(A18&lt;=Inputs!$E$12,Inputs!$E$11/Inputs!$E$12,0)</f>
        <v/>
      </c>
      <c r="C18" s="15">
        <f>IF(A18=Inputs!$E$12,Inputs!$E$24,0)</f>
        <v/>
      </c>
      <c r="D18" s="15">
        <f>IF(AND(A18&gt;(Inputs!$E$12+Inputs!$E$13),A18&lt;=(Inputs!$E$12+Inputs!$E$13)+Inputs!$E$18),Inputs!$E$19,0)</f>
        <v/>
      </c>
      <c r="E18" s="15">
        <f>IF(AND(A18&gt;(Inputs!$E$12+Inputs!$E$13),A18&lt;=(Inputs!$E$12+Inputs!$E$13)+Inputs!$E$18),Inputs!$E$15*Inputs!$E$16,0)</f>
        <v/>
      </c>
      <c r="F18" s="15">
        <f>IF(AND(A18&gt;(Inputs!$E$12+Inputs!$E$13)+Inputs!$E$14,A18&lt;=(Inputs!$E$12+Inputs!$E$13)+Inputs!$E$14+Inputs!$E$18),Inputs!$E$15*Inputs!$E$16*Inputs!$E$17,0)</f>
        <v/>
      </c>
      <c r="G18" s="15">
        <f>F18*1000*Inputs!$E$7/1e6</f>
        <v/>
      </c>
      <c r="H18" s="15">
        <f>G18-B18-C18-D18</f>
        <v/>
      </c>
      <c r="I18" s="16">
        <f>1/(1+Inputs!$E$20)^A18</f>
        <v/>
      </c>
      <c r="J18" s="15">
        <f>H18*I18</f>
        <v/>
      </c>
      <c r="K18" s="15">
        <f>(B18+C18)*I18</f>
        <v/>
      </c>
      <c r="L18" s="15">
        <f>(G18-D18)*I18</f>
        <v/>
      </c>
      <c r="M18" s="15">
        <f>F18*I18</f>
        <v/>
      </c>
    </row>
    <row r="19">
      <c r="A19" t="n">
        <v>14</v>
      </c>
      <c r="B19" s="15">
        <f>IF(A19&lt;=Inputs!$E$12,Inputs!$E$11/Inputs!$E$12,0)</f>
        <v/>
      </c>
      <c r="C19" s="15">
        <f>IF(A19=Inputs!$E$12,Inputs!$E$24,0)</f>
        <v/>
      </c>
      <c r="D19" s="15">
        <f>IF(AND(A19&gt;(Inputs!$E$12+Inputs!$E$13),A19&lt;=(Inputs!$E$12+Inputs!$E$13)+Inputs!$E$18),Inputs!$E$19,0)</f>
        <v/>
      </c>
      <c r="E19" s="15">
        <f>IF(AND(A19&gt;(Inputs!$E$12+Inputs!$E$13),A19&lt;=(Inputs!$E$12+Inputs!$E$13)+Inputs!$E$18),Inputs!$E$15*Inputs!$E$16,0)</f>
        <v/>
      </c>
      <c r="F19" s="15">
        <f>IF(AND(A19&gt;(Inputs!$E$12+Inputs!$E$13)+Inputs!$E$14,A19&lt;=(Inputs!$E$12+Inputs!$E$13)+Inputs!$E$14+Inputs!$E$18),Inputs!$E$15*Inputs!$E$16*Inputs!$E$17,0)</f>
        <v/>
      </c>
      <c r="G19" s="15">
        <f>F19*1000*Inputs!$E$7/1e6</f>
        <v/>
      </c>
      <c r="H19" s="15">
        <f>G19-B19-C19-D19</f>
        <v/>
      </c>
      <c r="I19" s="16">
        <f>1/(1+Inputs!$E$20)^A19</f>
        <v/>
      </c>
      <c r="J19" s="15">
        <f>H19*I19</f>
        <v/>
      </c>
      <c r="K19" s="15">
        <f>(B19+C19)*I19</f>
        <v/>
      </c>
      <c r="L19" s="15">
        <f>(G19-D19)*I19</f>
        <v/>
      </c>
      <c r="M19" s="15">
        <f>F19*I19</f>
        <v/>
      </c>
    </row>
    <row r="20">
      <c r="A20" t="n">
        <v>15</v>
      </c>
      <c r="B20" s="15">
        <f>IF(A20&lt;=Inputs!$E$12,Inputs!$E$11/Inputs!$E$12,0)</f>
        <v/>
      </c>
      <c r="C20" s="15">
        <f>IF(A20=Inputs!$E$12,Inputs!$E$24,0)</f>
        <v/>
      </c>
      <c r="D20" s="15">
        <f>IF(AND(A20&gt;(Inputs!$E$12+Inputs!$E$13),A20&lt;=(Inputs!$E$12+Inputs!$E$13)+Inputs!$E$18),Inputs!$E$19,0)</f>
        <v/>
      </c>
      <c r="E20" s="15">
        <f>IF(AND(A20&gt;(Inputs!$E$12+Inputs!$E$13),A20&lt;=(Inputs!$E$12+Inputs!$E$13)+Inputs!$E$18),Inputs!$E$15*Inputs!$E$16,0)</f>
        <v/>
      </c>
      <c r="F20" s="15">
        <f>IF(AND(A20&gt;(Inputs!$E$12+Inputs!$E$13)+Inputs!$E$14,A20&lt;=(Inputs!$E$12+Inputs!$E$13)+Inputs!$E$14+Inputs!$E$18),Inputs!$E$15*Inputs!$E$16*Inputs!$E$17,0)</f>
        <v/>
      </c>
      <c r="G20" s="15">
        <f>F20*1000*Inputs!$E$7/1e6</f>
        <v/>
      </c>
      <c r="H20" s="15">
        <f>G20-B20-C20-D20</f>
        <v/>
      </c>
      <c r="I20" s="16">
        <f>1/(1+Inputs!$E$20)^A20</f>
        <v/>
      </c>
      <c r="J20" s="15">
        <f>H20*I20</f>
        <v/>
      </c>
      <c r="K20" s="15">
        <f>(B20+C20)*I20</f>
        <v/>
      </c>
      <c r="L20" s="15">
        <f>(G20-D20)*I20</f>
        <v/>
      </c>
      <c r="M20" s="15">
        <f>F20*I20</f>
        <v/>
      </c>
    </row>
    <row r="21">
      <c r="A21" t="n">
        <v>16</v>
      </c>
      <c r="B21" s="15">
        <f>IF(A21&lt;=Inputs!$E$12,Inputs!$E$11/Inputs!$E$12,0)</f>
        <v/>
      </c>
      <c r="C21" s="15">
        <f>IF(A21=Inputs!$E$12,Inputs!$E$24,0)</f>
        <v/>
      </c>
      <c r="D21" s="15">
        <f>IF(AND(A21&gt;(Inputs!$E$12+Inputs!$E$13),A21&lt;=(Inputs!$E$12+Inputs!$E$13)+Inputs!$E$18),Inputs!$E$19,0)</f>
        <v/>
      </c>
      <c r="E21" s="15">
        <f>IF(AND(A21&gt;(Inputs!$E$12+Inputs!$E$13),A21&lt;=(Inputs!$E$12+Inputs!$E$13)+Inputs!$E$18),Inputs!$E$15*Inputs!$E$16,0)</f>
        <v/>
      </c>
      <c r="F21" s="15">
        <f>IF(AND(A21&gt;(Inputs!$E$12+Inputs!$E$13)+Inputs!$E$14,A21&lt;=(Inputs!$E$12+Inputs!$E$13)+Inputs!$E$14+Inputs!$E$18),Inputs!$E$15*Inputs!$E$16*Inputs!$E$17,0)</f>
        <v/>
      </c>
      <c r="G21" s="15">
        <f>F21*1000*Inputs!$E$7/1e6</f>
        <v/>
      </c>
      <c r="H21" s="15">
        <f>G21-B21-C21-D21</f>
        <v/>
      </c>
      <c r="I21" s="16">
        <f>1/(1+Inputs!$E$20)^A21</f>
        <v/>
      </c>
      <c r="J21" s="15">
        <f>H21*I21</f>
        <v/>
      </c>
      <c r="K21" s="15">
        <f>(B21+C21)*I21</f>
        <v/>
      </c>
      <c r="L21" s="15">
        <f>(G21-D21)*I21</f>
        <v/>
      </c>
      <c r="M21" s="15">
        <f>F21*I21</f>
        <v/>
      </c>
    </row>
    <row r="22">
      <c r="A22" t="n">
        <v>17</v>
      </c>
      <c r="B22" s="15">
        <f>IF(A22&lt;=Inputs!$E$12,Inputs!$E$11/Inputs!$E$12,0)</f>
        <v/>
      </c>
      <c r="C22" s="15">
        <f>IF(A22=Inputs!$E$12,Inputs!$E$24,0)</f>
        <v/>
      </c>
      <c r="D22" s="15">
        <f>IF(AND(A22&gt;(Inputs!$E$12+Inputs!$E$13),A22&lt;=(Inputs!$E$12+Inputs!$E$13)+Inputs!$E$18),Inputs!$E$19,0)</f>
        <v/>
      </c>
      <c r="E22" s="15">
        <f>IF(AND(A22&gt;(Inputs!$E$12+Inputs!$E$13),A22&lt;=(Inputs!$E$12+Inputs!$E$13)+Inputs!$E$18),Inputs!$E$15*Inputs!$E$16,0)</f>
        <v/>
      </c>
      <c r="F22" s="15">
        <f>IF(AND(A22&gt;(Inputs!$E$12+Inputs!$E$13)+Inputs!$E$14,A22&lt;=(Inputs!$E$12+Inputs!$E$13)+Inputs!$E$14+Inputs!$E$18),Inputs!$E$15*Inputs!$E$16*Inputs!$E$17,0)</f>
        <v/>
      </c>
      <c r="G22" s="15">
        <f>F22*1000*Inputs!$E$7/1e6</f>
        <v/>
      </c>
      <c r="H22" s="15">
        <f>G22-B22-C22-D22</f>
        <v/>
      </c>
      <c r="I22" s="16">
        <f>1/(1+Inputs!$E$20)^A22</f>
        <v/>
      </c>
      <c r="J22" s="15">
        <f>H22*I22</f>
        <v/>
      </c>
      <c r="K22" s="15">
        <f>(B22+C22)*I22</f>
        <v/>
      </c>
      <c r="L22" s="15">
        <f>(G22-D22)*I22</f>
        <v/>
      </c>
      <c r="M22" s="15">
        <f>F22*I22</f>
        <v/>
      </c>
    </row>
    <row r="23">
      <c r="A23" t="n">
        <v>18</v>
      </c>
      <c r="B23" s="15">
        <f>IF(A23&lt;=Inputs!$E$12,Inputs!$E$11/Inputs!$E$12,0)</f>
        <v/>
      </c>
      <c r="C23" s="15">
        <f>IF(A23=Inputs!$E$12,Inputs!$E$24,0)</f>
        <v/>
      </c>
      <c r="D23" s="15">
        <f>IF(AND(A23&gt;(Inputs!$E$12+Inputs!$E$13),A23&lt;=(Inputs!$E$12+Inputs!$E$13)+Inputs!$E$18),Inputs!$E$19,0)</f>
        <v/>
      </c>
      <c r="E23" s="15">
        <f>IF(AND(A23&gt;(Inputs!$E$12+Inputs!$E$13),A23&lt;=(Inputs!$E$12+Inputs!$E$13)+Inputs!$E$18),Inputs!$E$15*Inputs!$E$16,0)</f>
        <v/>
      </c>
      <c r="F23" s="15">
        <f>IF(AND(A23&gt;(Inputs!$E$12+Inputs!$E$13)+Inputs!$E$14,A23&lt;=(Inputs!$E$12+Inputs!$E$13)+Inputs!$E$14+Inputs!$E$18),Inputs!$E$15*Inputs!$E$16*Inputs!$E$17,0)</f>
        <v/>
      </c>
      <c r="G23" s="15">
        <f>F23*1000*Inputs!$E$7/1e6</f>
        <v/>
      </c>
      <c r="H23" s="15">
        <f>G23-B23-C23-D23</f>
        <v/>
      </c>
      <c r="I23" s="16">
        <f>1/(1+Inputs!$E$20)^A23</f>
        <v/>
      </c>
      <c r="J23" s="15">
        <f>H23*I23</f>
        <v/>
      </c>
      <c r="K23" s="15">
        <f>(B23+C23)*I23</f>
        <v/>
      </c>
      <c r="L23" s="15">
        <f>(G23-D23)*I23</f>
        <v/>
      </c>
      <c r="M23" s="15">
        <f>F23*I23</f>
        <v/>
      </c>
    </row>
    <row r="24">
      <c r="A24" t="n">
        <v>19</v>
      </c>
      <c r="B24" s="15">
        <f>IF(A24&lt;=Inputs!$E$12,Inputs!$E$11/Inputs!$E$12,0)</f>
        <v/>
      </c>
      <c r="C24" s="15">
        <f>IF(A24=Inputs!$E$12,Inputs!$E$24,0)</f>
        <v/>
      </c>
      <c r="D24" s="15">
        <f>IF(AND(A24&gt;(Inputs!$E$12+Inputs!$E$13),A24&lt;=(Inputs!$E$12+Inputs!$E$13)+Inputs!$E$18),Inputs!$E$19,0)</f>
        <v/>
      </c>
      <c r="E24" s="15">
        <f>IF(AND(A24&gt;(Inputs!$E$12+Inputs!$E$13),A24&lt;=(Inputs!$E$12+Inputs!$E$13)+Inputs!$E$18),Inputs!$E$15*Inputs!$E$16,0)</f>
        <v/>
      </c>
      <c r="F24" s="15">
        <f>IF(AND(A24&gt;(Inputs!$E$12+Inputs!$E$13)+Inputs!$E$14,A24&lt;=(Inputs!$E$12+Inputs!$E$13)+Inputs!$E$14+Inputs!$E$18),Inputs!$E$15*Inputs!$E$16*Inputs!$E$17,0)</f>
        <v/>
      </c>
      <c r="G24" s="15">
        <f>F24*1000*Inputs!$E$7/1e6</f>
        <v/>
      </c>
      <c r="H24" s="15">
        <f>G24-B24-C24-D24</f>
        <v/>
      </c>
      <c r="I24" s="16">
        <f>1/(1+Inputs!$E$20)^A24</f>
        <v/>
      </c>
      <c r="J24" s="15">
        <f>H24*I24</f>
        <v/>
      </c>
      <c r="K24" s="15">
        <f>(B24+C24)*I24</f>
        <v/>
      </c>
      <c r="L24" s="15">
        <f>(G24-D24)*I24</f>
        <v/>
      </c>
      <c r="M24" s="15">
        <f>F24*I24</f>
        <v/>
      </c>
    </row>
    <row r="25">
      <c r="A25" t="n">
        <v>20</v>
      </c>
      <c r="B25" s="15">
        <f>IF(A25&lt;=Inputs!$E$12,Inputs!$E$11/Inputs!$E$12,0)</f>
        <v/>
      </c>
      <c r="C25" s="15">
        <f>IF(A25=Inputs!$E$12,Inputs!$E$24,0)</f>
        <v/>
      </c>
      <c r="D25" s="15">
        <f>IF(AND(A25&gt;(Inputs!$E$12+Inputs!$E$13),A25&lt;=(Inputs!$E$12+Inputs!$E$13)+Inputs!$E$18),Inputs!$E$19,0)</f>
        <v/>
      </c>
      <c r="E25" s="15">
        <f>IF(AND(A25&gt;(Inputs!$E$12+Inputs!$E$13),A25&lt;=(Inputs!$E$12+Inputs!$E$13)+Inputs!$E$18),Inputs!$E$15*Inputs!$E$16,0)</f>
        <v/>
      </c>
      <c r="F25" s="15">
        <f>IF(AND(A25&gt;(Inputs!$E$12+Inputs!$E$13)+Inputs!$E$14,A25&lt;=(Inputs!$E$12+Inputs!$E$13)+Inputs!$E$14+Inputs!$E$18),Inputs!$E$15*Inputs!$E$16*Inputs!$E$17,0)</f>
        <v/>
      </c>
      <c r="G25" s="15">
        <f>F25*1000*Inputs!$E$7/1e6</f>
        <v/>
      </c>
      <c r="H25" s="15">
        <f>G25-B25-C25-D25</f>
        <v/>
      </c>
      <c r="I25" s="16">
        <f>1/(1+Inputs!$E$20)^A25</f>
        <v/>
      </c>
      <c r="J25" s="15">
        <f>H25*I25</f>
        <v/>
      </c>
      <c r="K25" s="15">
        <f>(B25+C25)*I25</f>
        <v/>
      </c>
      <c r="L25" s="15">
        <f>(G25-D25)*I25</f>
        <v/>
      </c>
      <c r="M25" s="15">
        <f>F25*I25</f>
        <v/>
      </c>
    </row>
    <row r="26">
      <c r="A26" t="n">
        <v>21</v>
      </c>
      <c r="B26" s="15">
        <f>IF(A26&lt;=Inputs!$E$12,Inputs!$E$11/Inputs!$E$12,0)</f>
        <v/>
      </c>
      <c r="C26" s="15">
        <f>IF(A26=Inputs!$E$12,Inputs!$E$24,0)</f>
        <v/>
      </c>
      <c r="D26" s="15">
        <f>IF(AND(A26&gt;(Inputs!$E$12+Inputs!$E$13),A26&lt;=(Inputs!$E$12+Inputs!$E$13)+Inputs!$E$18),Inputs!$E$19,0)</f>
        <v/>
      </c>
      <c r="E26" s="15">
        <f>IF(AND(A26&gt;(Inputs!$E$12+Inputs!$E$13),A26&lt;=(Inputs!$E$12+Inputs!$E$13)+Inputs!$E$18),Inputs!$E$15*Inputs!$E$16,0)</f>
        <v/>
      </c>
      <c r="F26" s="15">
        <f>IF(AND(A26&gt;(Inputs!$E$12+Inputs!$E$13)+Inputs!$E$14,A26&lt;=(Inputs!$E$12+Inputs!$E$13)+Inputs!$E$14+Inputs!$E$18),Inputs!$E$15*Inputs!$E$16*Inputs!$E$17,0)</f>
        <v/>
      </c>
      <c r="G26" s="15">
        <f>F26*1000*Inputs!$E$7/1e6</f>
        <v/>
      </c>
      <c r="H26" s="15">
        <f>G26-B26-C26-D26</f>
        <v/>
      </c>
      <c r="I26" s="16">
        <f>1/(1+Inputs!$E$20)^A26</f>
        <v/>
      </c>
      <c r="J26" s="15">
        <f>H26*I26</f>
        <v/>
      </c>
      <c r="K26" s="15">
        <f>(B26+C26)*I26</f>
        <v/>
      </c>
      <c r="L26" s="15">
        <f>(G26-D26)*I26</f>
        <v/>
      </c>
      <c r="M26" s="15">
        <f>F26*I26</f>
        <v/>
      </c>
    </row>
    <row r="27">
      <c r="A27" t="n">
        <v>22</v>
      </c>
      <c r="B27" s="15">
        <f>IF(A27&lt;=Inputs!$E$12,Inputs!$E$11/Inputs!$E$12,0)</f>
        <v/>
      </c>
      <c r="C27" s="15">
        <f>IF(A27=Inputs!$E$12,Inputs!$E$24,0)</f>
        <v/>
      </c>
      <c r="D27" s="15">
        <f>IF(AND(A27&gt;(Inputs!$E$12+Inputs!$E$13),A27&lt;=(Inputs!$E$12+Inputs!$E$13)+Inputs!$E$18),Inputs!$E$19,0)</f>
        <v/>
      </c>
      <c r="E27" s="15">
        <f>IF(AND(A27&gt;(Inputs!$E$12+Inputs!$E$13),A27&lt;=(Inputs!$E$12+Inputs!$E$13)+Inputs!$E$18),Inputs!$E$15*Inputs!$E$16,0)</f>
        <v/>
      </c>
      <c r="F27" s="15">
        <f>IF(AND(A27&gt;(Inputs!$E$12+Inputs!$E$13)+Inputs!$E$14,A27&lt;=(Inputs!$E$12+Inputs!$E$13)+Inputs!$E$14+Inputs!$E$18),Inputs!$E$15*Inputs!$E$16*Inputs!$E$17,0)</f>
        <v/>
      </c>
      <c r="G27" s="15">
        <f>F27*1000*Inputs!$E$7/1e6</f>
        <v/>
      </c>
      <c r="H27" s="15">
        <f>G27-B27-C27-D27</f>
        <v/>
      </c>
      <c r="I27" s="16">
        <f>1/(1+Inputs!$E$20)^A27</f>
        <v/>
      </c>
      <c r="J27" s="15">
        <f>H27*I27</f>
        <v/>
      </c>
      <c r="K27" s="15">
        <f>(B27+C27)*I27</f>
        <v/>
      </c>
      <c r="L27" s="15">
        <f>(G27-D27)*I27</f>
        <v/>
      </c>
      <c r="M27" s="15">
        <f>F27*I27</f>
        <v/>
      </c>
    </row>
    <row r="28">
      <c r="A28" t="n">
        <v>23</v>
      </c>
      <c r="B28" s="15">
        <f>IF(A28&lt;=Inputs!$E$12,Inputs!$E$11/Inputs!$E$12,0)</f>
        <v/>
      </c>
      <c r="C28" s="15">
        <f>IF(A28=Inputs!$E$12,Inputs!$E$24,0)</f>
        <v/>
      </c>
      <c r="D28" s="15">
        <f>IF(AND(A28&gt;(Inputs!$E$12+Inputs!$E$13),A28&lt;=(Inputs!$E$12+Inputs!$E$13)+Inputs!$E$18),Inputs!$E$19,0)</f>
        <v/>
      </c>
      <c r="E28" s="15">
        <f>IF(AND(A28&gt;(Inputs!$E$12+Inputs!$E$13),A28&lt;=(Inputs!$E$12+Inputs!$E$13)+Inputs!$E$18),Inputs!$E$15*Inputs!$E$16,0)</f>
        <v/>
      </c>
      <c r="F28" s="15">
        <f>IF(AND(A28&gt;(Inputs!$E$12+Inputs!$E$13)+Inputs!$E$14,A28&lt;=(Inputs!$E$12+Inputs!$E$13)+Inputs!$E$14+Inputs!$E$18),Inputs!$E$15*Inputs!$E$16*Inputs!$E$17,0)</f>
        <v/>
      </c>
      <c r="G28" s="15">
        <f>F28*1000*Inputs!$E$7/1e6</f>
        <v/>
      </c>
      <c r="H28" s="15">
        <f>G28-B28-C28-D28</f>
        <v/>
      </c>
      <c r="I28" s="16">
        <f>1/(1+Inputs!$E$20)^A28</f>
        <v/>
      </c>
      <c r="J28" s="15">
        <f>H28*I28</f>
        <v/>
      </c>
      <c r="K28" s="15">
        <f>(B28+C28)*I28</f>
        <v/>
      </c>
      <c r="L28" s="15">
        <f>(G28-D28)*I28</f>
        <v/>
      </c>
      <c r="M28" s="15">
        <f>F28*I28</f>
        <v/>
      </c>
    </row>
    <row r="29">
      <c r="A29" t="n">
        <v>24</v>
      </c>
      <c r="B29" s="15">
        <f>IF(A29&lt;=Inputs!$E$12,Inputs!$E$11/Inputs!$E$12,0)</f>
        <v/>
      </c>
      <c r="C29" s="15">
        <f>IF(A29=Inputs!$E$12,Inputs!$E$24,0)</f>
        <v/>
      </c>
      <c r="D29" s="15">
        <f>IF(AND(A29&gt;(Inputs!$E$12+Inputs!$E$13),A29&lt;=(Inputs!$E$12+Inputs!$E$13)+Inputs!$E$18),Inputs!$E$19,0)</f>
        <v/>
      </c>
      <c r="E29" s="15">
        <f>IF(AND(A29&gt;(Inputs!$E$12+Inputs!$E$13),A29&lt;=(Inputs!$E$12+Inputs!$E$13)+Inputs!$E$18),Inputs!$E$15*Inputs!$E$16,0)</f>
        <v/>
      </c>
      <c r="F29" s="15">
        <f>IF(AND(A29&gt;(Inputs!$E$12+Inputs!$E$13)+Inputs!$E$14,A29&lt;=(Inputs!$E$12+Inputs!$E$13)+Inputs!$E$14+Inputs!$E$18),Inputs!$E$15*Inputs!$E$16*Inputs!$E$17,0)</f>
        <v/>
      </c>
      <c r="G29" s="15">
        <f>F29*1000*Inputs!$E$7/1e6</f>
        <v/>
      </c>
      <c r="H29" s="15">
        <f>G29-B29-C29-D29</f>
        <v/>
      </c>
      <c r="I29" s="16">
        <f>1/(1+Inputs!$E$20)^A29</f>
        <v/>
      </c>
      <c r="J29" s="15">
        <f>H29*I29</f>
        <v/>
      </c>
      <c r="K29" s="15">
        <f>(B29+C29)*I29</f>
        <v/>
      </c>
      <c r="L29" s="15">
        <f>(G29-D29)*I29</f>
        <v/>
      </c>
      <c r="M29" s="15">
        <f>F29*I29</f>
        <v/>
      </c>
    </row>
    <row r="30">
      <c r="A30" t="n">
        <v>25</v>
      </c>
      <c r="B30" s="15">
        <f>IF(A30&lt;=Inputs!$E$12,Inputs!$E$11/Inputs!$E$12,0)</f>
        <v/>
      </c>
      <c r="C30" s="15">
        <f>IF(A30=Inputs!$E$12,Inputs!$E$24,0)</f>
        <v/>
      </c>
      <c r="D30" s="15">
        <f>IF(AND(A30&gt;(Inputs!$E$12+Inputs!$E$13),A30&lt;=(Inputs!$E$12+Inputs!$E$13)+Inputs!$E$18),Inputs!$E$19,0)</f>
        <v/>
      </c>
      <c r="E30" s="15">
        <f>IF(AND(A30&gt;(Inputs!$E$12+Inputs!$E$13),A30&lt;=(Inputs!$E$12+Inputs!$E$13)+Inputs!$E$18),Inputs!$E$15*Inputs!$E$16,0)</f>
        <v/>
      </c>
      <c r="F30" s="15">
        <f>IF(AND(A30&gt;(Inputs!$E$12+Inputs!$E$13)+Inputs!$E$14,A30&lt;=(Inputs!$E$12+Inputs!$E$13)+Inputs!$E$14+Inputs!$E$18),Inputs!$E$15*Inputs!$E$16*Inputs!$E$17,0)</f>
        <v/>
      </c>
      <c r="G30" s="15">
        <f>F30*1000*Inputs!$E$7/1e6</f>
        <v/>
      </c>
      <c r="H30" s="15">
        <f>G30-B30-C30-D30</f>
        <v/>
      </c>
      <c r="I30" s="16">
        <f>1/(1+Inputs!$E$20)^A30</f>
        <v/>
      </c>
      <c r="J30" s="15">
        <f>H30*I30</f>
        <v/>
      </c>
      <c r="K30" s="15">
        <f>(B30+C30)*I30</f>
        <v/>
      </c>
      <c r="L30" s="15">
        <f>(G30-D30)*I30</f>
        <v/>
      </c>
      <c r="M30" s="15">
        <f>F30*I30</f>
        <v/>
      </c>
    </row>
    <row r="31">
      <c r="A31" t="n">
        <v>26</v>
      </c>
      <c r="B31" s="15">
        <f>IF(A31&lt;=Inputs!$E$12,Inputs!$E$11/Inputs!$E$12,0)</f>
        <v/>
      </c>
      <c r="C31" s="15">
        <f>IF(A31=Inputs!$E$12,Inputs!$E$24,0)</f>
        <v/>
      </c>
      <c r="D31" s="15">
        <f>IF(AND(A31&gt;(Inputs!$E$12+Inputs!$E$13),A31&lt;=(Inputs!$E$12+Inputs!$E$13)+Inputs!$E$18),Inputs!$E$19,0)</f>
        <v/>
      </c>
      <c r="E31" s="15">
        <f>IF(AND(A31&gt;(Inputs!$E$12+Inputs!$E$13),A31&lt;=(Inputs!$E$12+Inputs!$E$13)+Inputs!$E$18),Inputs!$E$15*Inputs!$E$16,0)</f>
        <v/>
      </c>
      <c r="F31" s="15">
        <f>IF(AND(A31&gt;(Inputs!$E$12+Inputs!$E$13)+Inputs!$E$14,A31&lt;=(Inputs!$E$12+Inputs!$E$13)+Inputs!$E$14+Inputs!$E$18),Inputs!$E$15*Inputs!$E$16*Inputs!$E$17,0)</f>
        <v/>
      </c>
      <c r="G31" s="15">
        <f>F31*1000*Inputs!$E$7/1e6</f>
        <v/>
      </c>
      <c r="H31" s="15">
        <f>G31-B31-C31-D31</f>
        <v/>
      </c>
      <c r="I31" s="16">
        <f>1/(1+Inputs!$E$20)^A31</f>
        <v/>
      </c>
      <c r="J31" s="15">
        <f>H31*I31</f>
        <v/>
      </c>
      <c r="K31" s="15">
        <f>(B31+C31)*I31</f>
        <v/>
      </c>
      <c r="L31" s="15">
        <f>(G31-D31)*I31</f>
        <v/>
      </c>
      <c r="M31" s="15">
        <f>F31*I31</f>
        <v/>
      </c>
    </row>
    <row r="32">
      <c r="A32" t="n">
        <v>27</v>
      </c>
      <c r="B32" s="15">
        <f>IF(A32&lt;=Inputs!$E$12,Inputs!$E$11/Inputs!$E$12,0)</f>
        <v/>
      </c>
      <c r="C32" s="15">
        <f>IF(A32=Inputs!$E$12,Inputs!$E$24,0)</f>
        <v/>
      </c>
      <c r="D32" s="15">
        <f>IF(AND(A32&gt;(Inputs!$E$12+Inputs!$E$13),A32&lt;=(Inputs!$E$12+Inputs!$E$13)+Inputs!$E$18),Inputs!$E$19,0)</f>
        <v/>
      </c>
      <c r="E32" s="15">
        <f>IF(AND(A32&gt;(Inputs!$E$12+Inputs!$E$13),A32&lt;=(Inputs!$E$12+Inputs!$E$13)+Inputs!$E$18),Inputs!$E$15*Inputs!$E$16,0)</f>
        <v/>
      </c>
      <c r="F32" s="15">
        <f>IF(AND(A32&gt;(Inputs!$E$12+Inputs!$E$13)+Inputs!$E$14,A32&lt;=(Inputs!$E$12+Inputs!$E$13)+Inputs!$E$14+Inputs!$E$18),Inputs!$E$15*Inputs!$E$16*Inputs!$E$17,0)</f>
        <v/>
      </c>
      <c r="G32" s="15">
        <f>F32*1000*Inputs!$E$7/1e6</f>
        <v/>
      </c>
      <c r="H32" s="15">
        <f>G32-B32-C32-D32</f>
        <v/>
      </c>
      <c r="I32" s="16">
        <f>1/(1+Inputs!$E$20)^A32</f>
        <v/>
      </c>
      <c r="J32" s="15">
        <f>H32*I32</f>
        <v/>
      </c>
      <c r="K32" s="15">
        <f>(B32+C32)*I32</f>
        <v/>
      </c>
      <c r="L32" s="15">
        <f>(G32-D32)*I32</f>
        <v/>
      </c>
      <c r="M32" s="15">
        <f>F32*I32</f>
        <v/>
      </c>
    </row>
    <row r="33">
      <c r="A33" t="n">
        <v>28</v>
      </c>
      <c r="B33" s="15">
        <f>IF(A33&lt;=Inputs!$E$12,Inputs!$E$11/Inputs!$E$12,0)</f>
        <v/>
      </c>
      <c r="C33" s="15">
        <f>IF(A33=Inputs!$E$12,Inputs!$E$24,0)</f>
        <v/>
      </c>
      <c r="D33" s="15">
        <f>IF(AND(A33&gt;(Inputs!$E$12+Inputs!$E$13),A33&lt;=(Inputs!$E$12+Inputs!$E$13)+Inputs!$E$18),Inputs!$E$19,0)</f>
        <v/>
      </c>
      <c r="E33" s="15">
        <f>IF(AND(A33&gt;(Inputs!$E$12+Inputs!$E$13),A33&lt;=(Inputs!$E$12+Inputs!$E$13)+Inputs!$E$18),Inputs!$E$15*Inputs!$E$16,0)</f>
        <v/>
      </c>
      <c r="F33" s="15">
        <f>IF(AND(A33&gt;(Inputs!$E$12+Inputs!$E$13)+Inputs!$E$14,A33&lt;=(Inputs!$E$12+Inputs!$E$13)+Inputs!$E$14+Inputs!$E$18),Inputs!$E$15*Inputs!$E$16*Inputs!$E$17,0)</f>
        <v/>
      </c>
      <c r="G33" s="15">
        <f>F33*1000*Inputs!$E$7/1e6</f>
        <v/>
      </c>
      <c r="H33" s="15">
        <f>G33-B33-C33-D33</f>
        <v/>
      </c>
      <c r="I33" s="16">
        <f>1/(1+Inputs!$E$20)^A33</f>
        <v/>
      </c>
      <c r="J33" s="15">
        <f>H33*I33</f>
        <v/>
      </c>
      <c r="K33" s="15">
        <f>(B33+C33)*I33</f>
        <v/>
      </c>
      <c r="L33" s="15">
        <f>(G33-D33)*I33</f>
        <v/>
      </c>
      <c r="M33" s="15">
        <f>F33*I33</f>
        <v/>
      </c>
    </row>
    <row r="34">
      <c r="A34" t="n">
        <v>29</v>
      </c>
      <c r="B34" s="15">
        <f>IF(A34&lt;=Inputs!$E$12,Inputs!$E$11/Inputs!$E$12,0)</f>
        <v/>
      </c>
      <c r="C34" s="15">
        <f>IF(A34=Inputs!$E$12,Inputs!$E$24,0)</f>
        <v/>
      </c>
      <c r="D34" s="15">
        <f>IF(AND(A34&gt;(Inputs!$E$12+Inputs!$E$13),A34&lt;=(Inputs!$E$12+Inputs!$E$13)+Inputs!$E$18),Inputs!$E$19,0)</f>
        <v/>
      </c>
      <c r="E34" s="15">
        <f>IF(AND(A34&gt;(Inputs!$E$12+Inputs!$E$13),A34&lt;=(Inputs!$E$12+Inputs!$E$13)+Inputs!$E$18),Inputs!$E$15*Inputs!$E$16,0)</f>
        <v/>
      </c>
      <c r="F34" s="15">
        <f>IF(AND(A34&gt;(Inputs!$E$12+Inputs!$E$13)+Inputs!$E$14,A34&lt;=(Inputs!$E$12+Inputs!$E$13)+Inputs!$E$14+Inputs!$E$18),Inputs!$E$15*Inputs!$E$16*Inputs!$E$17,0)</f>
        <v/>
      </c>
      <c r="G34" s="15">
        <f>F34*1000*Inputs!$E$7/1e6</f>
        <v/>
      </c>
      <c r="H34" s="15">
        <f>G34-B34-C34-D34</f>
        <v/>
      </c>
      <c r="I34" s="16">
        <f>1/(1+Inputs!$E$20)^A34</f>
        <v/>
      </c>
      <c r="J34" s="15">
        <f>H34*I34</f>
        <v/>
      </c>
      <c r="K34" s="15">
        <f>(B34+C34)*I34</f>
        <v/>
      </c>
      <c r="L34" s="15">
        <f>(G34-D34)*I34</f>
        <v/>
      </c>
      <c r="M34" s="15">
        <f>F34*I34</f>
        <v/>
      </c>
    </row>
    <row r="35">
      <c r="A35" t="n">
        <v>30</v>
      </c>
      <c r="B35" s="15">
        <f>IF(A35&lt;=Inputs!$E$12,Inputs!$E$11/Inputs!$E$12,0)</f>
        <v/>
      </c>
      <c r="C35" s="15">
        <f>IF(A35=Inputs!$E$12,Inputs!$E$24,0)</f>
        <v/>
      </c>
      <c r="D35" s="15">
        <f>IF(AND(A35&gt;(Inputs!$E$12+Inputs!$E$13),A35&lt;=(Inputs!$E$12+Inputs!$E$13)+Inputs!$E$18),Inputs!$E$19,0)</f>
        <v/>
      </c>
      <c r="E35" s="15">
        <f>IF(AND(A35&gt;(Inputs!$E$12+Inputs!$E$13),A35&lt;=(Inputs!$E$12+Inputs!$E$13)+Inputs!$E$18),Inputs!$E$15*Inputs!$E$16,0)</f>
        <v/>
      </c>
      <c r="F35" s="15">
        <f>IF(AND(A35&gt;(Inputs!$E$12+Inputs!$E$13)+Inputs!$E$14,A35&lt;=(Inputs!$E$12+Inputs!$E$13)+Inputs!$E$14+Inputs!$E$18),Inputs!$E$15*Inputs!$E$16*Inputs!$E$17,0)</f>
        <v/>
      </c>
      <c r="G35" s="15">
        <f>F35*1000*Inputs!$E$7/1e6</f>
        <v/>
      </c>
      <c r="H35" s="15">
        <f>G35-B35-C35-D35</f>
        <v/>
      </c>
      <c r="I35" s="16">
        <f>1/(1+Inputs!$E$20)^A35</f>
        <v/>
      </c>
      <c r="J35" s="15">
        <f>H35*I35</f>
        <v/>
      </c>
      <c r="K35" s="15">
        <f>(B35+C35)*I35</f>
        <v/>
      </c>
      <c r="L35" s="15">
        <f>(G35-D35)*I35</f>
        <v/>
      </c>
      <c r="M35" s="15">
        <f>F35*I35</f>
        <v/>
      </c>
    </row>
    <row r="36">
      <c r="A36" t="n">
        <v>31</v>
      </c>
      <c r="B36" s="15">
        <f>IF(A36&lt;=Inputs!$E$12,Inputs!$E$11/Inputs!$E$12,0)</f>
        <v/>
      </c>
      <c r="C36" s="15">
        <f>IF(A36=Inputs!$E$12,Inputs!$E$24,0)</f>
        <v/>
      </c>
      <c r="D36" s="15">
        <f>IF(AND(A36&gt;(Inputs!$E$12+Inputs!$E$13),A36&lt;=(Inputs!$E$12+Inputs!$E$13)+Inputs!$E$18),Inputs!$E$19,0)</f>
        <v/>
      </c>
      <c r="E36" s="15">
        <f>IF(AND(A36&gt;(Inputs!$E$12+Inputs!$E$13),A36&lt;=(Inputs!$E$12+Inputs!$E$13)+Inputs!$E$18),Inputs!$E$15*Inputs!$E$16,0)</f>
        <v/>
      </c>
      <c r="F36" s="15">
        <f>IF(AND(A36&gt;(Inputs!$E$12+Inputs!$E$13)+Inputs!$E$14,A36&lt;=(Inputs!$E$12+Inputs!$E$13)+Inputs!$E$14+Inputs!$E$18),Inputs!$E$15*Inputs!$E$16*Inputs!$E$17,0)</f>
        <v/>
      </c>
      <c r="G36" s="15">
        <f>F36*1000*Inputs!$E$7/1e6</f>
        <v/>
      </c>
      <c r="H36" s="15">
        <f>G36-B36-C36-D36</f>
        <v/>
      </c>
      <c r="I36" s="16">
        <f>1/(1+Inputs!$E$20)^A36</f>
        <v/>
      </c>
      <c r="J36" s="15">
        <f>H36*I36</f>
        <v/>
      </c>
      <c r="K36" s="15">
        <f>(B36+C36)*I36</f>
        <v/>
      </c>
      <c r="L36" s="15">
        <f>(G36-D36)*I36</f>
        <v/>
      </c>
      <c r="M36" s="15">
        <f>F36*I36</f>
        <v/>
      </c>
    </row>
    <row r="37">
      <c r="A37" t="n">
        <v>32</v>
      </c>
      <c r="B37" s="15">
        <f>IF(A37&lt;=Inputs!$E$12,Inputs!$E$11/Inputs!$E$12,0)</f>
        <v/>
      </c>
      <c r="C37" s="15">
        <f>IF(A37=Inputs!$E$12,Inputs!$E$24,0)</f>
        <v/>
      </c>
      <c r="D37" s="15">
        <f>IF(AND(A37&gt;(Inputs!$E$12+Inputs!$E$13),A37&lt;=(Inputs!$E$12+Inputs!$E$13)+Inputs!$E$18),Inputs!$E$19,0)</f>
        <v/>
      </c>
      <c r="E37" s="15">
        <f>IF(AND(A37&gt;(Inputs!$E$12+Inputs!$E$13),A37&lt;=(Inputs!$E$12+Inputs!$E$13)+Inputs!$E$18),Inputs!$E$15*Inputs!$E$16,0)</f>
        <v/>
      </c>
      <c r="F37" s="15">
        <f>IF(AND(A37&gt;(Inputs!$E$12+Inputs!$E$13)+Inputs!$E$14,A37&lt;=(Inputs!$E$12+Inputs!$E$13)+Inputs!$E$14+Inputs!$E$18),Inputs!$E$15*Inputs!$E$16*Inputs!$E$17,0)</f>
        <v/>
      </c>
      <c r="G37" s="15">
        <f>F37*1000*Inputs!$E$7/1e6</f>
        <v/>
      </c>
      <c r="H37" s="15">
        <f>G37-B37-C37-D37</f>
        <v/>
      </c>
      <c r="I37" s="16">
        <f>1/(1+Inputs!$E$20)^A37</f>
        <v/>
      </c>
      <c r="J37" s="15">
        <f>H37*I37</f>
        <v/>
      </c>
      <c r="K37" s="15">
        <f>(B37+C37)*I37</f>
        <v/>
      </c>
      <c r="L37" s="15">
        <f>(G37-D37)*I37</f>
        <v/>
      </c>
      <c r="M37" s="15">
        <f>F37*I37</f>
        <v/>
      </c>
    </row>
    <row r="38">
      <c r="A38" t="n">
        <v>33</v>
      </c>
      <c r="B38" s="15">
        <f>IF(A38&lt;=Inputs!$E$12,Inputs!$E$11/Inputs!$E$12,0)</f>
        <v/>
      </c>
      <c r="C38" s="15">
        <f>IF(A38=Inputs!$E$12,Inputs!$E$24,0)</f>
        <v/>
      </c>
      <c r="D38" s="15">
        <f>IF(AND(A38&gt;(Inputs!$E$12+Inputs!$E$13),A38&lt;=(Inputs!$E$12+Inputs!$E$13)+Inputs!$E$18),Inputs!$E$19,0)</f>
        <v/>
      </c>
      <c r="E38" s="15">
        <f>IF(AND(A38&gt;(Inputs!$E$12+Inputs!$E$13),A38&lt;=(Inputs!$E$12+Inputs!$E$13)+Inputs!$E$18),Inputs!$E$15*Inputs!$E$16,0)</f>
        <v/>
      </c>
      <c r="F38" s="15">
        <f>IF(AND(A38&gt;(Inputs!$E$12+Inputs!$E$13)+Inputs!$E$14,A38&lt;=(Inputs!$E$12+Inputs!$E$13)+Inputs!$E$14+Inputs!$E$18),Inputs!$E$15*Inputs!$E$16*Inputs!$E$17,0)</f>
        <v/>
      </c>
      <c r="G38" s="15">
        <f>F38*1000*Inputs!$E$7/1e6</f>
        <v/>
      </c>
      <c r="H38" s="15">
        <f>G38-B38-C38-D38</f>
        <v/>
      </c>
      <c r="I38" s="16">
        <f>1/(1+Inputs!$E$20)^A38</f>
        <v/>
      </c>
      <c r="J38" s="15">
        <f>H38*I38</f>
        <v/>
      </c>
      <c r="K38" s="15">
        <f>(B38+C38)*I38</f>
        <v/>
      </c>
      <c r="L38" s="15">
        <f>(G38-D38)*I38</f>
        <v/>
      </c>
      <c r="M38" s="15">
        <f>F38*I38</f>
        <v/>
      </c>
    </row>
    <row r="39">
      <c r="A39" t="n">
        <v>34</v>
      </c>
      <c r="B39" s="15">
        <f>IF(A39&lt;=Inputs!$E$12,Inputs!$E$11/Inputs!$E$12,0)</f>
        <v/>
      </c>
      <c r="C39" s="15">
        <f>IF(A39=Inputs!$E$12,Inputs!$E$24,0)</f>
        <v/>
      </c>
      <c r="D39" s="15">
        <f>IF(AND(A39&gt;(Inputs!$E$12+Inputs!$E$13),A39&lt;=(Inputs!$E$12+Inputs!$E$13)+Inputs!$E$18),Inputs!$E$19,0)</f>
        <v/>
      </c>
      <c r="E39" s="15">
        <f>IF(AND(A39&gt;(Inputs!$E$12+Inputs!$E$13),A39&lt;=(Inputs!$E$12+Inputs!$E$13)+Inputs!$E$18),Inputs!$E$15*Inputs!$E$16,0)</f>
        <v/>
      </c>
      <c r="F39" s="15">
        <f>IF(AND(A39&gt;(Inputs!$E$12+Inputs!$E$13)+Inputs!$E$14,A39&lt;=(Inputs!$E$12+Inputs!$E$13)+Inputs!$E$14+Inputs!$E$18),Inputs!$E$15*Inputs!$E$16*Inputs!$E$17,0)</f>
        <v/>
      </c>
      <c r="G39" s="15">
        <f>F39*1000*Inputs!$E$7/1e6</f>
        <v/>
      </c>
      <c r="H39" s="15">
        <f>G39-B39-C39-D39</f>
        <v/>
      </c>
      <c r="I39" s="16">
        <f>1/(1+Inputs!$E$20)^A39</f>
        <v/>
      </c>
      <c r="J39" s="15">
        <f>H39*I39</f>
        <v/>
      </c>
      <c r="K39" s="15">
        <f>(B39+C39)*I39</f>
        <v/>
      </c>
      <c r="L39" s="15">
        <f>(G39-D39)*I39</f>
        <v/>
      </c>
      <c r="M39" s="15">
        <f>F39*I39</f>
        <v/>
      </c>
    </row>
    <row r="40">
      <c r="A40" t="n">
        <v>35</v>
      </c>
      <c r="B40" s="15">
        <f>IF(A40&lt;=Inputs!$E$12,Inputs!$E$11/Inputs!$E$12,0)</f>
        <v/>
      </c>
      <c r="C40" s="15">
        <f>IF(A40=Inputs!$E$12,Inputs!$E$24,0)</f>
        <v/>
      </c>
      <c r="D40" s="15">
        <f>IF(AND(A40&gt;(Inputs!$E$12+Inputs!$E$13),A40&lt;=(Inputs!$E$12+Inputs!$E$13)+Inputs!$E$18),Inputs!$E$19,0)</f>
        <v/>
      </c>
      <c r="E40" s="15">
        <f>IF(AND(A40&gt;(Inputs!$E$12+Inputs!$E$13),A40&lt;=(Inputs!$E$12+Inputs!$E$13)+Inputs!$E$18),Inputs!$E$15*Inputs!$E$16,0)</f>
        <v/>
      </c>
      <c r="F40" s="15">
        <f>IF(AND(A40&gt;(Inputs!$E$12+Inputs!$E$13)+Inputs!$E$14,A40&lt;=(Inputs!$E$12+Inputs!$E$13)+Inputs!$E$14+Inputs!$E$18),Inputs!$E$15*Inputs!$E$16*Inputs!$E$17,0)</f>
        <v/>
      </c>
      <c r="G40" s="15">
        <f>F40*1000*Inputs!$E$7/1e6</f>
        <v/>
      </c>
      <c r="H40" s="15">
        <f>G40-B40-C40-D40</f>
        <v/>
      </c>
      <c r="I40" s="16">
        <f>1/(1+Inputs!$E$20)^A40</f>
        <v/>
      </c>
      <c r="J40" s="15">
        <f>H40*I40</f>
        <v/>
      </c>
      <c r="K40" s="15">
        <f>(B40+C40)*I40</f>
        <v/>
      </c>
      <c r="L40" s="15">
        <f>(G40-D40)*I40</f>
        <v/>
      </c>
      <c r="M40" s="15">
        <f>F40*I40</f>
        <v/>
      </c>
    </row>
    <row r="41">
      <c r="A41" t="n">
        <v>36</v>
      </c>
      <c r="B41" s="15">
        <f>IF(A41&lt;=Inputs!$E$12,Inputs!$E$11/Inputs!$E$12,0)</f>
        <v/>
      </c>
      <c r="C41" s="15">
        <f>IF(A41=Inputs!$E$12,Inputs!$E$24,0)</f>
        <v/>
      </c>
      <c r="D41" s="15">
        <f>IF(AND(A41&gt;(Inputs!$E$12+Inputs!$E$13),A41&lt;=(Inputs!$E$12+Inputs!$E$13)+Inputs!$E$18),Inputs!$E$19,0)</f>
        <v/>
      </c>
      <c r="E41" s="15">
        <f>IF(AND(A41&gt;(Inputs!$E$12+Inputs!$E$13),A41&lt;=(Inputs!$E$12+Inputs!$E$13)+Inputs!$E$18),Inputs!$E$15*Inputs!$E$16,0)</f>
        <v/>
      </c>
      <c r="F41" s="15">
        <f>IF(AND(A41&gt;(Inputs!$E$12+Inputs!$E$13)+Inputs!$E$14,A41&lt;=(Inputs!$E$12+Inputs!$E$13)+Inputs!$E$14+Inputs!$E$18),Inputs!$E$15*Inputs!$E$16*Inputs!$E$17,0)</f>
        <v/>
      </c>
      <c r="G41" s="15">
        <f>F41*1000*Inputs!$E$7/1e6</f>
        <v/>
      </c>
      <c r="H41" s="15">
        <f>G41-B41-C41-D41</f>
        <v/>
      </c>
      <c r="I41" s="16">
        <f>1/(1+Inputs!$E$20)^A41</f>
        <v/>
      </c>
      <c r="J41" s="15">
        <f>H41*I41</f>
        <v/>
      </c>
      <c r="K41" s="15">
        <f>(B41+C41)*I41</f>
        <v/>
      </c>
      <c r="L41" s="15">
        <f>(G41-D41)*I41</f>
        <v/>
      </c>
      <c r="M41" s="15">
        <f>F41*I41</f>
        <v/>
      </c>
    </row>
    <row r="42">
      <c r="A42" t="n">
        <v>37</v>
      </c>
      <c r="B42" s="15">
        <f>IF(A42&lt;=Inputs!$E$12,Inputs!$E$11/Inputs!$E$12,0)</f>
        <v/>
      </c>
      <c r="C42" s="15">
        <f>IF(A42=Inputs!$E$12,Inputs!$E$24,0)</f>
        <v/>
      </c>
      <c r="D42" s="15">
        <f>IF(AND(A42&gt;(Inputs!$E$12+Inputs!$E$13),A42&lt;=(Inputs!$E$12+Inputs!$E$13)+Inputs!$E$18),Inputs!$E$19,0)</f>
        <v/>
      </c>
      <c r="E42" s="15">
        <f>IF(AND(A42&gt;(Inputs!$E$12+Inputs!$E$13),A42&lt;=(Inputs!$E$12+Inputs!$E$13)+Inputs!$E$18),Inputs!$E$15*Inputs!$E$16,0)</f>
        <v/>
      </c>
      <c r="F42" s="15">
        <f>IF(AND(A42&gt;(Inputs!$E$12+Inputs!$E$13)+Inputs!$E$14,A42&lt;=(Inputs!$E$12+Inputs!$E$13)+Inputs!$E$14+Inputs!$E$18),Inputs!$E$15*Inputs!$E$16*Inputs!$E$17,0)</f>
        <v/>
      </c>
      <c r="G42" s="15">
        <f>F42*1000*Inputs!$E$7/1e6</f>
        <v/>
      </c>
      <c r="H42" s="15">
        <f>G42-B42-C42-D42</f>
        <v/>
      </c>
      <c r="I42" s="16">
        <f>1/(1+Inputs!$E$20)^A42</f>
        <v/>
      </c>
      <c r="J42" s="15">
        <f>H42*I42</f>
        <v/>
      </c>
      <c r="K42" s="15">
        <f>(B42+C42)*I42</f>
        <v/>
      </c>
      <c r="L42" s="15">
        <f>(G42-D42)*I42</f>
        <v/>
      </c>
      <c r="M42" s="15">
        <f>F42*I42</f>
        <v/>
      </c>
    </row>
    <row r="43">
      <c r="A43" t="n">
        <v>38</v>
      </c>
      <c r="B43" s="15">
        <f>IF(A43&lt;=Inputs!$E$12,Inputs!$E$11/Inputs!$E$12,0)</f>
        <v/>
      </c>
      <c r="C43" s="15">
        <f>IF(A43=Inputs!$E$12,Inputs!$E$24,0)</f>
        <v/>
      </c>
      <c r="D43" s="15">
        <f>IF(AND(A43&gt;(Inputs!$E$12+Inputs!$E$13),A43&lt;=(Inputs!$E$12+Inputs!$E$13)+Inputs!$E$18),Inputs!$E$19,0)</f>
        <v/>
      </c>
      <c r="E43" s="15">
        <f>IF(AND(A43&gt;(Inputs!$E$12+Inputs!$E$13),A43&lt;=(Inputs!$E$12+Inputs!$E$13)+Inputs!$E$18),Inputs!$E$15*Inputs!$E$16,0)</f>
        <v/>
      </c>
      <c r="F43" s="15">
        <f>IF(AND(A43&gt;(Inputs!$E$12+Inputs!$E$13)+Inputs!$E$14,A43&lt;=(Inputs!$E$12+Inputs!$E$13)+Inputs!$E$14+Inputs!$E$18),Inputs!$E$15*Inputs!$E$16*Inputs!$E$17,0)</f>
        <v/>
      </c>
      <c r="G43" s="15">
        <f>F43*1000*Inputs!$E$7/1e6</f>
        <v/>
      </c>
      <c r="H43" s="15">
        <f>G43-B43-C43-D43</f>
        <v/>
      </c>
      <c r="I43" s="16">
        <f>1/(1+Inputs!$E$20)^A43</f>
        <v/>
      </c>
      <c r="J43" s="15">
        <f>H43*I43</f>
        <v/>
      </c>
      <c r="K43" s="15">
        <f>(B43+C43)*I43</f>
        <v/>
      </c>
      <c r="L43" s="15">
        <f>(G43-D43)*I43</f>
        <v/>
      </c>
      <c r="M43" s="15">
        <f>F43*I43</f>
        <v/>
      </c>
    </row>
    <row r="44">
      <c r="A44" t="n">
        <v>39</v>
      </c>
      <c r="B44" s="15">
        <f>IF(A44&lt;=Inputs!$E$12,Inputs!$E$11/Inputs!$E$12,0)</f>
        <v/>
      </c>
      <c r="C44" s="15">
        <f>IF(A44=Inputs!$E$12,Inputs!$E$24,0)</f>
        <v/>
      </c>
      <c r="D44" s="15">
        <f>IF(AND(A44&gt;(Inputs!$E$12+Inputs!$E$13),A44&lt;=(Inputs!$E$12+Inputs!$E$13)+Inputs!$E$18),Inputs!$E$19,0)</f>
        <v/>
      </c>
      <c r="E44" s="15">
        <f>IF(AND(A44&gt;(Inputs!$E$12+Inputs!$E$13),A44&lt;=(Inputs!$E$12+Inputs!$E$13)+Inputs!$E$18),Inputs!$E$15*Inputs!$E$16,0)</f>
        <v/>
      </c>
      <c r="F44" s="15">
        <f>IF(AND(A44&gt;(Inputs!$E$12+Inputs!$E$13)+Inputs!$E$14,A44&lt;=(Inputs!$E$12+Inputs!$E$13)+Inputs!$E$14+Inputs!$E$18),Inputs!$E$15*Inputs!$E$16*Inputs!$E$17,0)</f>
        <v/>
      </c>
      <c r="G44" s="15">
        <f>F44*1000*Inputs!$E$7/1e6</f>
        <v/>
      </c>
      <c r="H44" s="15">
        <f>G44-B44-C44-D44</f>
        <v/>
      </c>
      <c r="I44" s="16">
        <f>1/(1+Inputs!$E$20)^A44</f>
        <v/>
      </c>
      <c r="J44" s="15">
        <f>H44*I44</f>
        <v/>
      </c>
      <c r="K44" s="15">
        <f>(B44+C44)*I44</f>
        <v/>
      </c>
      <c r="L44" s="15">
        <f>(G44-D44)*I44</f>
        <v/>
      </c>
      <c r="M44" s="15">
        <f>F44*I44</f>
        <v/>
      </c>
    </row>
    <row r="45">
      <c r="A45" t="n">
        <v>40</v>
      </c>
      <c r="B45" s="15">
        <f>IF(A45&lt;=Inputs!$E$12,Inputs!$E$11/Inputs!$E$12,0)</f>
        <v/>
      </c>
      <c r="C45" s="15">
        <f>IF(A45=Inputs!$E$12,Inputs!$E$24,0)</f>
        <v/>
      </c>
      <c r="D45" s="15">
        <f>IF(AND(A45&gt;(Inputs!$E$12+Inputs!$E$13),A45&lt;=(Inputs!$E$12+Inputs!$E$13)+Inputs!$E$18),Inputs!$E$19,0)</f>
        <v/>
      </c>
      <c r="E45" s="15">
        <f>IF(AND(A45&gt;(Inputs!$E$12+Inputs!$E$13),A45&lt;=(Inputs!$E$12+Inputs!$E$13)+Inputs!$E$18),Inputs!$E$15*Inputs!$E$16,0)</f>
        <v/>
      </c>
      <c r="F45" s="15">
        <f>IF(AND(A45&gt;(Inputs!$E$12+Inputs!$E$13)+Inputs!$E$14,A45&lt;=(Inputs!$E$12+Inputs!$E$13)+Inputs!$E$14+Inputs!$E$18),Inputs!$E$15*Inputs!$E$16*Inputs!$E$17,0)</f>
        <v/>
      </c>
      <c r="G45" s="15">
        <f>F45*1000*Inputs!$E$7/1e6</f>
        <v/>
      </c>
      <c r="H45" s="15">
        <f>G45-B45-C45-D45</f>
        <v/>
      </c>
      <c r="I45" s="16">
        <f>1/(1+Inputs!$E$20)^A45</f>
        <v/>
      </c>
      <c r="J45" s="15">
        <f>H45*I45</f>
        <v/>
      </c>
      <c r="K45" s="15">
        <f>(B45+C45)*I45</f>
        <v/>
      </c>
      <c r="L45" s="15">
        <f>(G45-D45)*I45</f>
        <v/>
      </c>
      <c r="M45" s="15">
        <f>F45*I45</f>
        <v/>
      </c>
    </row>
    <row r="47">
      <c r="A47" s="4" t="inlineStr">
        <is>
          <t>NPV ($M)</t>
        </is>
      </c>
      <c r="B47" s="17">
        <f>SUM(J6:J45)</f>
        <v/>
      </c>
    </row>
    <row r="48">
      <c r="A48" s="4" t="inlineStr">
        <is>
          <t>PV capex + launch ($M)</t>
        </is>
      </c>
      <c r="B48" s="17">
        <f>SUM(K6:K45)</f>
        <v/>
      </c>
    </row>
    <row r="49">
      <c r="A49" s="4" t="inlineStr">
        <is>
          <t>PV revenue - opex ($M)</t>
        </is>
      </c>
      <c r="B49" s="17">
        <f>SUM(L6:L45)</f>
        <v/>
      </c>
    </row>
    <row r="50">
      <c r="A50" s="4" t="inlineStr">
        <is>
          <t>Risk-adjusted NPV ($M)</t>
        </is>
      </c>
      <c r="B50" s="17">
        <f>-B48+Inputs!$E$21*B49</f>
        <v/>
      </c>
    </row>
    <row r="51">
      <c r="A51" s="4" t="inlineStr">
        <is>
          <t>Total regolith delivered (t)</t>
        </is>
      </c>
      <c r="B51" s="17">
        <f>SUM(F6:F45)</f>
        <v/>
      </c>
    </row>
    <row r="52">
      <c r="A52" s="4" t="inlineStr">
        <is>
          <t>First delivery year</t>
        </is>
      </c>
      <c r="B52" s="17">
        <f>IFERROR(INDEX(A6:A45,MATCH(TRUE,INDEX(F6:F45&gt;0,0),0)),"none")</f>
        <v/>
      </c>
    </row>
    <row r="53">
      <c r="A53" s="4" t="inlineStr">
        <is>
          <t>Break-even delivered value ($/kg)</t>
        </is>
      </c>
      <c r="B53" s="17">
        <f>IFERROR((B48+SUMPRODUCT(D6:D45,I6:I45))*1e6/(SUM(M6:M45)*1000),"n/a")</f>
        <v/>
      </c>
    </row>
    <row r="54">
      <c r="A54" s="4" t="inlineStr">
        <is>
          <t>Break-even value / launch cost (x)</t>
        </is>
      </c>
      <c r="B54" s="17">
        <f>IFERROR(B53/Inputs!$E$6,"n/a")</f>
        <v/>
      </c>
    </row>
    <row r="55">
      <c r="A55" s="4" t="inlineStr">
        <is>
          <t>Undiscounted cumulative cash ($M)</t>
        </is>
      </c>
      <c r="B55" s="17">
        <f>SUM(H6:H45)</f>
        <v/>
      </c>
    </row>
    <row r="57">
      <c r="A57" s="18" t="inlineStr">
        <is>
          <t>Illustrative scenario output driven entirely by the assumptions on the Inputs sheet. Not a valuation of any company or asset.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Base-case sensitivity — NPV ($M) vs delivered regolith value and extraction rate</t>
        </is>
      </c>
    </row>
    <row r="2">
      <c r="A2" s="2" t="inlineStr">
        <is>
          <t>Computed from the Base tab's discount factors and timing. Illustrative.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19" t="inlineStr">
        <is>
          <t>Rows: delivered value ($/kg). Columns: extraction rate (t/yr). All other inputs = Base.</t>
        </is>
      </c>
    </row>
    <row r="6">
      <c r="A6" s="4" t="inlineStr">
        <is>
          <t>$/kg \ t/yr</t>
        </is>
      </c>
      <c r="B6" s="20" t="n">
        <v>100</v>
      </c>
      <c r="C6" s="20" t="n">
        <v>300</v>
      </c>
      <c r="D6" s="20" t="n">
        <v>1000</v>
      </c>
      <c r="E6" s="20" t="n">
        <v>3000</v>
      </c>
      <c r="F6" s="20" t="n">
        <v>10000</v>
      </c>
    </row>
    <row r="7">
      <c r="A7" s="20" t="n">
        <v>100</v>
      </c>
      <c r="B7" s="21">
        <f>-'Base'!B48-SUMPRODUCT('Base'!D6:D45,'Base'!I6:I45)+IFERROR(SUM('Base'!M6:M45)/Inputs!$D$15,0)*B$6*$A7*1000/1e6</f>
        <v/>
      </c>
      <c r="C7" s="21">
        <f>-'Base'!B48-SUMPRODUCT('Base'!D6:D45,'Base'!I6:I45)+IFERROR(SUM('Base'!M6:M45)/Inputs!$D$15,0)*C$6*$A7*1000/1e6</f>
        <v/>
      </c>
      <c r="D7" s="21">
        <f>-'Base'!B48-SUMPRODUCT('Base'!D6:D45,'Base'!I6:I45)+IFERROR(SUM('Base'!M6:M45)/Inputs!$D$15,0)*D$6*$A7*1000/1e6</f>
        <v/>
      </c>
      <c r="E7" s="21">
        <f>-'Base'!B48-SUMPRODUCT('Base'!D6:D45,'Base'!I6:I45)+IFERROR(SUM('Base'!M6:M45)/Inputs!$D$15,0)*E$6*$A7*1000/1e6</f>
        <v/>
      </c>
      <c r="F7" s="21">
        <f>-'Base'!B48-SUMPRODUCT('Base'!D6:D45,'Base'!I6:I45)+IFERROR(SUM('Base'!M6:M45)/Inputs!$D$15,0)*F$6*$A7*1000/1e6</f>
        <v/>
      </c>
    </row>
    <row r="8">
      <c r="A8" s="20" t="n">
        <v>250</v>
      </c>
      <c r="B8" s="21">
        <f>-'Base'!B48-SUMPRODUCT('Base'!D6:D45,'Base'!I6:I45)+IFERROR(SUM('Base'!M6:M45)/Inputs!$D$15,0)*B$6*$A8*1000/1e6</f>
        <v/>
      </c>
      <c r="C8" s="21">
        <f>-'Base'!B48-SUMPRODUCT('Base'!D6:D45,'Base'!I6:I45)+IFERROR(SUM('Base'!M6:M45)/Inputs!$D$15,0)*C$6*$A8*1000/1e6</f>
        <v/>
      </c>
      <c r="D8" s="21">
        <f>-'Base'!B48-SUMPRODUCT('Base'!D6:D45,'Base'!I6:I45)+IFERROR(SUM('Base'!M6:M45)/Inputs!$D$15,0)*D$6*$A8*1000/1e6</f>
        <v/>
      </c>
      <c r="E8" s="21">
        <f>-'Base'!B48-SUMPRODUCT('Base'!D6:D45,'Base'!I6:I45)+IFERROR(SUM('Base'!M6:M45)/Inputs!$D$15,0)*E$6*$A8*1000/1e6</f>
        <v/>
      </c>
      <c r="F8" s="21">
        <f>-'Base'!B48-SUMPRODUCT('Base'!D6:D45,'Base'!I6:I45)+IFERROR(SUM('Base'!M6:M45)/Inputs!$D$15,0)*F$6*$A8*1000/1e6</f>
        <v/>
      </c>
    </row>
    <row r="9">
      <c r="A9" s="20" t="n">
        <v>500</v>
      </c>
      <c r="B9" s="21">
        <f>-'Base'!B48-SUMPRODUCT('Base'!D6:D45,'Base'!I6:I45)+IFERROR(SUM('Base'!M6:M45)/Inputs!$D$15,0)*B$6*$A9*1000/1e6</f>
        <v/>
      </c>
      <c r="C9" s="21">
        <f>-'Base'!B48-SUMPRODUCT('Base'!D6:D45,'Base'!I6:I45)+IFERROR(SUM('Base'!M6:M45)/Inputs!$D$15,0)*C$6*$A9*1000/1e6</f>
        <v/>
      </c>
      <c r="D9" s="21">
        <f>-'Base'!B48-SUMPRODUCT('Base'!D6:D45,'Base'!I6:I45)+IFERROR(SUM('Base'!M6:M45)/Inputs!$D$15,0)*D$6*$A9*1000/1e6</f>
        <v/>
      </c>
      <c r="E9" s="21">
        <f>-'Base'!B48-SUMPRODUCT('Base'!D6:D45,'Base'!I6:I45)+IFERROR(SUM('Base'!M6:M45)/Inputs!$D$15,0)*E$6*$A9*1000/1e6</f>
        <v/>
      </c>
      <c r="F9" s="21">
        <f>-'Base'!B48-SUMPRODUCT('Base'!D6:D45,'Base'!I6:I45)+IFERROR(SUM('Base'!M6:M45)/Inputs!$D$15,0)*F$6*$A9*1000/1e6</f>
        <v/>
      </c>
    </row>
    <row r="10">
      <c r="A10" s="20" t="n">
        <v>1000</v>
      </c>
      <c r="B10" s="21">
        <f>-'Base'!B48-SUMPRODUCT('Base'!D6:D45,'Base'!I6:I45)+IFERROR(SUM('Base'!M6:M45)/Inputs!$D$15,0)*B$6*$A10*1000/1e6</f>
        <v/>
      </c>
      <c r="C10" s="21">
        <f>-'Base'!B48-SUMPRODUCT('Base'!D6:D45,'Base'!I6:I45)+IFERROR(SUM('Base'!M6:M45)/Inputs!$D$15,0)*C$6*$A10*1000/1e6</f>
        <v/>
      </c>
      <c r="D10" s="21">
        <f>-'Base'!B48-SUMPRODUCT('Base'!D6:D45,'Base'!I6:I45)+IFERROR(SUM('Base'!M6:M45)/Inputs!$D$15,0)*D$6*$A10*1000/1e6</f>
        <v/>
      </c>
      <c r="E10" s="21">
        <f>-'Base'!B48-SUMPRODUCT('Base'!D6:D45,'Base'!I6:I45)+IFERROR(SUM('Base'!M6:M45)/Inputs!$D$15,0)*E$6*$A10*1000/1e6</f>
        <v/>
      </c>
      <c r="F10" s="21">
        <f>-'Base'!B48-SUMPRODUCT('Base'!D6:D45,'Base'!I6:I45)+IFERROR(SUM('Base'!M6:M45)/Inputs!$D$15,0)*F$6*$A10*1000/1e6</f>
        <v/>
      </c>
    </row>
    <row r="11">
      <c r="A11" s="20" t="n">
        <v>1500</v>
      </c>
      <c r="B11" s="21">
        <f>-'Base'!B48-SUMPRODUCT('Base'!D6:D45,'Base'!I6:I45)+IFERROR(SUM('Base'!M6:M45)/Inputs!$D$15,0)*B$6*$A11*1000/1e6</f>
        <v/>
      </c>
      <c r="C11" s="21">
        <f>-'Base'!B48-SUMPRODUCT('Base'!D6:D45,'Base'!I6:I45)+IFERROR(SUM('Base'!M6:M45)/Inputs!$D$15,0)*C$6*$A11*1000/1e6</f>
        <v/>
      </c>
      <c r="D11" s="21">
        <f>-'Base'!B48-SUMPRODUCT('Base'!D6:D45,'Base'!I6:I45)+IFERROR(SUM('Base'!M6:M45)/Inputs!$D$15,0)*D$6*$A11*1000/1e6</f>
        <v/>
      </c>
      <c r="E11" s="21">
        <f>-'Base'!B48-SUMPRODUCT('Base'!D6:D45,'Base'!I6:I45)+IFERROR(SUM('Base'!M6:M45)/Inputs!$D$15,0)*E$6*$A11*1000/1e6</f>
        <v/>
      </c>
      <c r="F11" s="21">
        <f>-'Base'!B48-SUMPRODUCT('Base'!D6:D45,'Base'!I6:I45)+IFERROR(SUM('Base'!M6:M45)/Inputs!$D$15,0)*F$6*$A11*1000/1e6</f>
        <v/>
      </c>
    </row>
    <row r="12">
      <c r="A12" s="20" t="n">
        <v>3000</v>
      </c>
      <c r="B12" s="21">
        <f>-'Base'!B48-SUMPRODUCT('Base'!D6:D45,'Base'!I6:I45)+IFERROR(SUM('Base'!M6:M45)/Inputs!$D$15,0)*B$6*$A12*1000/1e6</f>
        <v/>
      </c>
      <c r="C12" s="21">
        <f>-'Base'!B48-SUMPRODUCT('Base'!D6:D45,'Base'!I6:I45)+IFERROR(SUM('Base'!M6:M45)/Inputs!$D$15,0)*C$6*$A12*1000/1e6</f>
        <v/>
      </c>
      <c r="D12" s="21">
        <f>-'Base'!B48-SUMPRODUCT('Base'!D6:D45,'Base'!I6:I45)+IFERROR(SUM('Base'!M6:M45)/Inputs!$D$15,0)*D$6*$A12*1000/1e6</f>
        <v/>
      </c>
      <c r="E12" s="21">
        <f>-'Base'!B48-SUMPRODUCT('Base'!D6:D45,'Base'!I6:I45)+IFERROR(SUM('Base'!M6:M45)/Inputs!$D$15,0)*E$6*$A12*1000/1e6</f>
        <v/>
      </c>
      <c r="F12" s="21">
        <f>-'Base'!B48-SUMPRODUCT('Base'!D6:D45,'Base'!I6:I45)+IFERROR(SUM('Base'!M6:M45)/Inputs!$D$15,0)*F$6*$A12*1000/1e6</f>
        <v/>
      </c>
    </row>
    <row r="13">
      <c r="A13" s="20" t="n">
        <v>5000</v>
      </c>
      <c r="B13" s="21">
        <f>-'Base'!B48-SUMPRODUCT('Base'!D6:D45,'Base'!I6:I45)+IFERROR(SUM('Base'!M6:M45)/Inputs!$D$15,0)*B$6*$A13*1000/1e6</f>
        <v/>
      </c>
      <c r="C13" s="21">
        <f>-'Base'!B48-SUMPRODUCT('Base'!D6:D45,'Base'!I6:I45)+IFERROR(SUM('Base'!M6:M45)/Inputs!$D$15,0)*C$6*$A13*1000/1e6</f>
        <v/>
      </c>
      <c r="D13" s="21">
        <f>-'Base'!B48-SUMPRODUCT('Base'!D6:D45,'Base'!I6:I45)+IFERROR(SUM('Base'!M6:M45)/Inputs!$D$15,0)*D$6*$A13*1000/1e6</f>
        <v/>
      </c>
      <c r="E13" s="21">
        <f>-'Base'!B48-SUMPRODUCT('Base'!D6:D45,'Base'!I6:I45)+IFERROR(SUM('Base'!M6:M45)/Inputs!$D$15,0)*E$6*$A13*1000/1e6</f>
        <v/>
      </c>
      <c r="F13" s="21">
        <f>-'Base'!B48-SUMPRODUCT('Base'!D6:D45,'Base'!I6:I45)+IFERROR(SUM('Base'!M6:M45)/Inputs!$D$15,0)*F$6*$A13*1000/1e6</f>
        <v/>
      </c>
    </row>
    <row r="15">
      <c r="A15" s="18" t="inlineStr">
        <is>
          <t>Note: capex and opex are unchanged across the grid; in reality a higher extraction rate needs more capex and launched mass.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"/>
  <sheetViews>
    <sheetView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Rocket-equation efficiency for 532 Herculina</t>
        </is>
      </c>
    </row>
    <row r="2">
      <c r="A2" s="2" t="inlineStr">
        <is>
          <t>Mass ratio = exp(dv / (g0 x Isp)); g0 = 9.80665 m/s². Delta-v values are SRI calc (ideal impulsive, INFERRED).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Leg</t>
        </is>
      </c>
      <c r="B5" s="6" t="inlineStr">
        <is>
          <t>Delta-v (km/s)</t>
        </is>
      </c>
      <c r="C5" s="6" t="inlineStr">
        <is>
          <t>Mass ratio @ 450 s</t>
        </is>
      </c>
      <c r="D5" s="6" t="inlineStr">
        <is>
          <t>Arriving share @ 450 s</t>
        </is>
      </c>
      <c r="E5" s="6" t="inlineStr">
        <is>
          <t>Mass ratio @ 1,500 s</t>
        </is>
      </c>
      <c r="F5" s="6" t="inlineStr">
        <is>
          <t>Arriving share @ 1,500 s</t>
        </is>
      </c>
      <c r="G5" s="6" t="inlineStr">
        <is>
          <t>Mass ratio @ 3,000 s</t>
        </is>
      </c>
      <c r="H5" s="6" t="inlineStr">
        <is>
          <t>Arriving share @ 3,000 s</t>
        </is>
      </c>
    </row>
    <row r="6">
      <c r="A6" s="4" t="inlineStr">
        <is>
          <t>Departure from 300-km LEO</t>
        </is>
      </c>
      <c r="B6" s="10" t="n">
        <v>4.897</v>
      </c>
      <c r="C6" s="10">
        <f>EXP(B6*1000/(9.80665*450))</f>
        <v/>
      </c>
      <c r="D6" s="11">
        <f>1/C6</f>
        <v/>
      </c>
      <c r="E6" s="10">
        <f>EXP(B6*1000/(9.80665*1500))</f>
        <v/>
      </c>
      <c r="F6" s="11">
        <f>1/E6</f>
        <v/>
      </c>
      <c r="G6" s="10">
        <f>EXP(B6*1000/(9.80665*3000))</f>
        <v/>
      </c>
      <c r="H6" s="11">
        <f>1/G6</f>
        <v/>
      </c>
    </row>
    <row r="7">
      <c r="A7" s="4" t="inlineStr">
        <is>
          <t>Arrival / rendezvous</t>
        </is>
      </c>
      <c r="B7" s="10" t="n">
        <v>6.51</v>
      </c>
      <c r="C7" s="10">
        <f>EXP(B7*1000/(9.80665*450))</f>
        <v/>
      </c>
      <c r="D7" s="11">
        <f>1/C7</f>
        <v/>
      </c>
      <c r="E7" s="10">
        <f>EXP(B7*1000/(9.80665*1500))</f>
        <v/>
      </c>
      <c r="F7" s="11">
        <f>1/E7</f>
        <v/>
      </c>
      <c r="G7" s="10">
        <f>EXP(B7*1000/(9.80665*3000))</f>
        <v/>
      </c>
      <c r="H7" s="11">
        <f>1/G7</f>
        <v/>
      </c>
    </row>
    <row r="8">
      <c r="A8" s="4" t="inlineStr">
        <is>
          <t>Total LEO to rendezvous</t>
        </is>
      </c>
      <c r="B8" s="10" t="n">
        <v>11.407</v>
      </c>
      <c r="C8" s="10">
        <f>EXP(B8*1000/(9.80665*450))</f>
        <v/>
      </c>
      <c r="D8" s="11">
        <f>1/C8</f>
        <v/>
      </c>
      <c r="E8" s="10">
        <f>EXP(B8*1000/(9.80665*1500))</f>
        <v/>
      </c>
      <c r="F8" s="11">
        <f>1/E8</f>
        <v/>
      </c>
      <c r="G8" s="10">
        <f>EXP(B8*1000/(9.80665*3000))</f>
        <v/>
      </c>
      <c r="H8" s="11">
        <f>1/G8</f>
        <v/>
      </c>
    </row>
    <row r="10">
      <c r="A10" s="18" t="inlineStr">
        <is>
          <t>Arriving share = final / initial mass. Real missions add margins, gravity losses (chemical) and longer low-thrust trajectories (electric).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8" customWidth="1" min="1" max="1"/>
    <col width="16" customWidth="1" min="2" max="2"/>
    <col width="12" customWidth="1" min="3" max="3"/>
    <col width="14" customWidth="1" min="4" max="4"/>
    <col width="80" customWidth="1" min="5" max="5"/>
  </cols>
  <sheetData>
    <row r="1">
      <c r="A1" s="1" t="inlineStr">
        <is>
          <t>532 Herculina: contained regolith arithmetic</t>
        </is>
      </c>
    </row>
    <row r="2">
      <c r="A2" s="2" t="inlineStr">
        <is>
          <t>Mass is ASSUMED. Contained-regolith fractions are ASSUMED (SRI). In-place content is not a reserve.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Item</t>
        </is>
      </c>
      <c r="B5" s="6" t="inlineStr">
        <is>
          <t>Value</t>
        </is>
      </c>
      <c r="C5" s="6" t="inlineStr">
        <is>
          <t>Unit</t>
        </is>
      </c>
      <c r="D5" s="6" t="inlineStr">
        <is>
          <t>Grade</t>
        </is>
      </c>
      <c r="E5" s="6" t="inlineStr">
        <is>
          <t>Source / note</t>
        </is>
      </c>
    </row>
    <row r="6">
      <c r="A6" s="4" t="inlineStr">
        <is>
          <t>Total mass</t>
        </is>
      </c>
      <c r="B6" s="22" t="n">
        <v>6.679412360985817e+18</v>
      </c>
      <c r="C6" t="inlineStr">
        <is>
          <t>kg</t>
        </is>
      </c>
      <c r="D6" t="inlineStr">
        <is>
          <t>ASSUMED</t>
        </is>
      </c>
      <c r="E6" s="5" t="inlineStr">
        <is>
          <t>model estimate: assumed density × sphere-equivalent volume</t>
        </is>
      </c>
    </row>
    <row r="7">
      <c r="A7" s="4" t="inlineStr">
        <is>
          <t>Low fraction (user)</t>
        </is>
      </c>
      <c r="B7" s="23" t="n">
        <v>0.5</v>
      </c>
      <c r="C7" t="inlineStr">
        <is>
          <t>fraction</t>
        </is>
      </c>
      <c r="D7" t="inlineStr">
        <is>
          <t>ASSUMED</t>
        </is>
      </c>
      <c r="E7" s="5" t="inlineStr">
        <is>
          <t>SRI assumption</t>
        </is>
      </c>
    </row>
    <row r="8">
      <c r="A8" s="4" t="inlineStr">
        <is>
          <t>Base fraction (user)</t>
        </is>
      </c>
      <c r="B8" s="23" t="n">
        <v>0.7</v>
      </c>
      <c r="C8" t="inlineStr">
        <is>
          <t>fraction</t>
        </is>
      </c>
      <c r="D8" t="inlineStr">
        <is>
          <t>ASSUMED</t>
        </is>
      </c>
      <c r="E8" s="5" t="inlineStr">
        <is>
          <t>SRI assumption</t>
        </is>
      </c>
    </row>
    <row r="9">
      <c r="A9" s="4" t="inlineStr">
        <is>
          <t>High fraction (user)</t>
        </is>
      </c>
      <c r="B9" s="23" t="n">
        <v>0.9</v>
      </c>
      <c r="C9" t="inlineStr">
        <is>
          <t>fraction</t>
        </is>
      </c>
      <c r="D9" t="inlineStr">
        <is>
          <t>ASSUMED</t>
        </is>
      </c>
      <c r="E9" s="5" t="inlineStr">
        <is>
          <t>SRI assumption</t>
        </is>
      </c>
    </row>
    <row r="10">
      <c r="A10" s="4" t="inlineStr">
        <is>
          <t>Contained regolith, low</t>
        </is>
      </c>
      <c r="B10" s="22">
        <f>B6*B7</f>
        <v/>
      </c>
      <c r="C10" t="inlineStr">
        <is>
          <t>kg</t>
        </is>
      </c>
      <c r="D10" t="inlineStr">
        <is>
          <t>ASSUMED</t>
        </is>
      </c>
      <c r="E10" s="5" t="inlineStr">
        <is>
          <t>Formula: mass x fraction</t>
        </is>
      </c>
    </row>
    <row r="11">
      <c r="A11" s="4" t="inlineStr">
        <is>
          <t>Contained regolith, base</t>
        </is>
      </c>
      <c r="B11" s="22">
        <f>B6*B8</f>
        <v/>
      </c>
      <c r="C11" t="inlineStr">
        <is>
          <t>kg</t>
        </is>
      </c>
      <c r="D11" t="inlineStr">
        <is>
          <t>ASSUMED</t>
        </is>
      </c>
      <c r="E11" s="5" t="inlineStr">
        <is>
          <t>Formula</t>
        </is>
      </c>
    </row>
    <row r="12">
      <c r="A12" s="4" t="inlineStr">
        <is>
          <t>Contained regolith, high</t>
        </is>
      </c>
      <c r="B12" s="22">
        <f>B6*B9</f>
        <v/>
      </c>
      <c r="C12" t="inlineStr">
        <is>
          <t>kg</t>
        </is>
      </c>
      <c r="D12" t="inlineStr">
        <is>
          <t>ASSUMED</t>
        </is>
      </c>
      <c r="E12" s="5" t="inlineStr">
        <is>
          <t>Formula</t>
        </is>
      </c>
    </row>
    <row r="13">
      <c r="A13" s="4" t="inlineStr">
        <is>
          <t>Years of Base extraction rate to exhaust base content</t>
        </is>
      </c>
      <c r="B13" s="22">
        <f>B11/(Inputs!D15*1000)</f>
        <v/>
      </c>
      <c r="C13" t="inlineStr">
        <is>
          <t>years</t>
        </is>
      </c>
      <c r="D13" t="inlineStr">
        <is>
          <t>ASSUMED</t>
        </is>
      </c>
      <c r="E13" s="5" t="inlineStr">
        <is>
          <t>Shows that extraction rate, not tonnage, is the constraint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40" customWidth="1" min="1" max="1"/>
    <col width="60" customWidth="1" min="2" max="2"/>
    <col width="24" customWidth="1" min="3" max="3"/>
    <col width="70" customWidth="1" min="4" max="4"/>
  </cols>
  <sheetData>
    <row r="1">
      <c r="A1" s="1" t="inlineStr">
        <is>
          <t>Reference data with confidence grades</t>
        </is>
      </c>
    </row>
    <row r="2">
      <c r="A2" s="2" t="inlineStr">
        <is>
          <t>MEASURED / INFERRED / ASSUMED. Source names refer to the sources cited on herculina.space; full list on 'Sources'.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Quantity</t>
        </is>
      </c>
      <c r="B5" s="6" t="inlineStr">
        <is>
          <t>Value</t>
        </is>
      </c>
      <c r="C5" s="6" t="inlineStr">
        <is>
          <t>Grade</t>
        </is>
      </c>
      <c r="D5" s="6" t="inlineStr">
        <is>
          <t>Source</t>
        </is>
      </c>
    </row>
    <row r="6">
      <c r="A6" s="24" t="inlineStr">
        <is>
          <t>Mean diameter</t>
        </is>
      </c>
      <c r="B6" s="24" t="inlineStr">
        <is>
          <t>167.8 km (JPL (often quoted near 200 km))</t>
        </is>
      </c>
      <c r="C6" s="24" t="inlineStr">
        <is>
          <t>MEASURED</t>
        </is>
      </c>
      <c r="D6" s="24" t="inlineStr">
        <is>
          <t>NASA/JPL Solar System Dynamics: JPL Small-Body Database (SBDB) API record</t>
        </is>
      </c>
    </row>
    <row r="7">
      <c r="A7" s="24" t="inlineStr">
        <is>
          <t>Mass</t>
        </is>
      </c>
      <c r="B7" s="24" t="inlineStr">
        <is>
          <t>6.679e+18 kg (model estimate: assumed density × sphere-equivalent volume)</t>
        </is>
      </c>
      <c r="C7" s="24" t="inlineStr">
        <is>
          <t>ASSUMED</t>
        </is>
      </c>
      <c r="D7" s="24" t="inlineStr">
        <is>
          <t>SRI calc</t>
        </is>
      </c>
    </row>
    <row r="8">
      <c r="A8" s="24" t="inlineStr">
        <is>
          <t>Bulk density</t>
        </is>
      </c>
      <c r="B8" s="24" t="inlineStr">
        <is>
          <t>2.7 g/cm³ (assumed; a round value typical of S-complex asteroids (Carry 2012))</t>
        </is>
      </c>
      <c r="C8" s="24" t="inlineStr">
        <is>
          <t>ASSUMED</t>
        </is>
      </c>
      <c r="D8" s="24" t="inlineStr">
        <is>
          <t>Elsevier: Carry, B. (2012). Density of asteroids. Planetary and Space Science 73, 98–118</t>
        </is>
      </c>
    </row>
    <row r="9">
      <c r="A9" s="24" t="inlineStr">
        <is>
          <t>Geometric albedo</t>
        </is>
      </c>
      <c r="B9" s="24" t="inlineStr">
        <is>
          <t>0.29</t>
        </is>
      </c>
      <c r="C9" s="24" t="inlineStr">
        <is>
          <t>MEASURED</t>
        </is>
      </c>
      <c r="D9" s="24" t="inlineStr">
        <is>
          <t>NASA JPL Solar System Dynamics: Small-Body Database Lookup: 532 Herculina</t>
        </is>
      </c>
    </row>
    <row r="10">
      <c r="A10" s="24" t="inlineStr">
        <is>
          <t>Rotation period</t>
        </is>
      </c>
      <c r="B10" s="24" t="inlineStr">
        <is>
          <t>9.405 h</t>
        </is>
      </c>
      <c r="C10" s="24" t="inlineStr">
        <is>
          <t>MEASURED</t>
        </is>
      </c>
      <c r="D10" s="24" t="inlineStr">
        <is>
          <t>NASA/JPL Solar System Dynamics: JPL Small-Body Database (SBDB) API record</t>
        </is>
      </c>
    </row>
    <row r="11">
      <c r="A11" s="24" t="inlineStr">
        <is>
          <t>Spectral class / colour</t>
        </is>
      </c>
      <c r="B11" s="24" t="inlineStr">
        <is>
          <t>S</t>
        </is>
      </c>
      <c r="C11" s="24" t="inlineStr">
        <is>
          <t>MEASURED</t>
        </is>
      </c>
      <c r="D11" s="24" t="inlineStr">
        <is>
          <t>NASA/JPL Solar System Dynamics: JPL Small-Body Database (SBDB) API record</t>
        </is>
      </c>
    </row>
    <row r="12">
      <c r="A12" s="24" t="inlineStr">
        <is>
          <t>Surface gravity</t>
        </is>
      </c>
      <c r="B12" s="24" t="inlineStr">
        <is>
          <t>0.0633 m/s²</t>
        </is>
      </c>
      <c r="C12" s="24" t="inlineStr">
        <is>
          <t>ASSUMED</t>
        </is>
      </c>
      <c r="D12" s="24" t="inlineStr">
        <is>
          <t>SRI calc</t>
        </is>
      </c>
    </row>
    <row r="13">
      <c r="A13" s="24" t="inlineStr">
        <is>
          <t>Escape speed</t>
        </is>
      </c>
      <c r="B13" s="24" t="inlineStr">
        <is>
          <t>103 m/s</t>
        </is>
      </c>
      <c r="C13" s="24" t="inlineStr">
        <is>
          <t>ASSUMED</t>
        </is>
      </c>
      <c r="D13" s="24" t="inlineStr">
        <is>
          <t>SRI calc</t>
        </is>
      </c>
    </row>
    <row r="14">
      <c r="A14" s="24" t="inlineStr">
        <is>
          <t>Ideal delta-v LEO to rendezvous</t>
        </is>
      </c>
      <c r="B14" s="24" t="inlineStr">
        <is>
          <t>11.41 km/s</t>
        </is>
      </c>
      <c r="C14" s="24" t="inlineStr">
        <is>
          <t>INFERRED</t>
        </is>
      </c>
      <c r="D14" s="24" t="inlineStr">
        <is>
          <t>SRI calc</t>
        </is>
      </c>
    </row>
    <row r="15">
      <c r="A15" s="24" t="inlineStr">
        <is>
          <t>Ideal transfer time</t>
        </is>
      </c>
      <c r="B15" s="24" t="inlineStr">
        <is>
          <t>1.29 yr</t>
        </is>
      </c>
      <c r="C15" s="24" t="inlineStr">
        <is>
          <t>INFERRED</t>
        </is>
      </c>
      <c r="D15" s="24" t="inlineStr">
        <is>
          <t>SRI calc</t>
        </is>
      </c>
    </row>
    <row r="16">
      <c r="A16" s="24" t="inlineStr">
        <is>
          <t>Falcon 9 / Falcon Heavy $/kg to LEO</t>
        </is>
      </c>
      <c r="B16" s="24" t="inlineStr">
        <is>
          <t>≈$2.7k / ≈$1.4k (2018 $)</t>
        </is>
      </c>
      <c r="C16" s="24" t="inlineStr">
        <is>
          <t>MEASURED (published price ÷ capacity)</t>
        </is>
      </c>
      <c r="D16" s="24" t="inlineStr">
        <is>
          <t>Jones 2018, NASA NTRS 20200001093</t>
        </is>
      </c>
    </row>
    <row r="17">
      <c r="A17" s="24" t="inlineStr">
        <is>
          <t>SpaceX rideshare</t>
        </is>
      </c>
      <c r="B17" s="24" t="inlineStr">
        <is>
          <t>$350k for 50 kg + $7k/kg</t>
        </is>
      </c>
      <c r="C17" s="24" t="inlineStr">
        <is>
          <t>MEASURED (reported list price)</t>
        </is>
      </c>
      <c r="D17" s="24" t="inlineStr">
        <is>
          <t>New Space Economy, Feb 2026, citing SpaceX</t>
        </is>
      </c>
    </row>
    <row r="18">
      <c r="A18" s="24" t="inlineStr">
        <is>
          <t>NASA Psyche life-cycle cost (capex benchmark)</t>
        </is>
      </c>
      <c r="B18" s="24" t="inlineStr">
        <is>
          <t>$985M incl. launch</t>
        </is>
      </c>
      <c r="C18" s="24" t="inlineStr">
        <is>
          <t>MEASURED (reported)</t>
        </is>
      </c>
      <c r="D18" s="24" t="inlineStr">
        <is>
          <t>NASA statement, 2022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5" customWidth="1" min="1" max="1"/>
    <col width="60" customWidth="1" min="2" max="2"/>
    <col width="36" customWidth="1" min="3" max="3"/>
    <col width="80" customWidth="1" min="4" max="4"/>
  </cols>
  <sheetData>
    <row r="1">
      <c r="A1" s="1" t="inlineStr">
        <is>
          <t>Sources</t>
        </is>
      </c>
    </row>
    <row r="2">
      <c r="A2" s="2" t="inlineStr">
        <is>
          <t>Sources cited on herculina.space for this body. Shared cost references are listed on Reference_Data.</t>
        </is>
      </c>
    </row>
    <row r="3">
      <c r="A3" s="3" t="inlineStr">
        <is>
          <t>Space Resource Intelligence, published by 10timesIt LLC | herculina.space | SAMPLE EDITION — illustrative scenarios driven by stated assumptions; not investment advice; outputs are not facts.</t>
        </is>
      </c>
    </row>
    <row r="5">
      <c r="A5" s="6" t="inlineStr">
        <is>
          <t>#</t>
        </is>
      </c>
      <c r="B5" s="6" t="inlineStr">
        <is>
          <t>Title</t>
        </is>
      </c>
      <c r="C5" s="6" t="inlineStr">
        <is>
          <t>Publisher</t>
        </is>
      </c>
      <c r="D5" s="6" t="inlineStr">
        <is>
          <t>URL</t>
        </is>
      </c>
    </row>
    <row r="6">
      <c r="A6" s="5" t="n">
        <v>1</v>
      </c>
      <c r="B6" s="5" t="inlineStr">
        <is>
          <t>Small-Body Database Lookup: 532 Herculina</t>
        </is>
      </c>
      <c r="C6" s="5" t="inlineStr">
        <is>
          <t>NASA JPL Solar System Dynamics</t>
        </is>
      </c>
      <c r="D6" s="5" t="inlineStr">
        <is>
          <t>https://ssd.jpl.nasa.gov/tools/sbdb_lookup.html#/?sstr=532</t>
        </is>
      </c>
    </row>
    <row r="7">
      <c r="A7" s="5" t="n">
        <v>2</v>
      </c>
      <c r="B7" s="5" t="inlineStr">
        <is>
          <t>532 Herculina</t>
        </is>
      </c>
      <c r="C7" s="5" t="inlineStr">
        <is>
          <t>Wikipedia</t>
        </is>
      </c>
      <c r="D7" s="5" t="inlineStr">
        <is>
          <t>https://en.wikipedia.org/wiki/532_Herculina</t>
        </is>
      </c>
    </row>
    <row r="8">
      <c r="A8" s="5" t="n">
        <v>3</v>
      </c>
      <c r="B8" s="5" t="inlineStr">
        <is>
          <t>Max Wolf</t>
        </is>
      </c>
      <c r="C8" s="5" t="inlineStr">
        <is>
          <t>Wikipedia</t>
        </is>
      </c>
      <c r="D8" s="5" t="inlineStr">
        <is>
          <t>https://en.wikipedia.org/wiki/Max_Wolf</t>
        </is>
      </c>
    </row>
    <row r="9">
      <c r="A9" s="5" t="n">
        <v>4</v>
      </c>
      <c r="B9" s="5" t="inlineStr">
        <is>
          <t>Dactyl (moon)</t>
        </is>
      </c>
      <c r="C9" s="5" t="inlineStr">
        <is>
          <t>Wikipedia</t>
        </is>
      </c>
      <c r="D9" s="5" t="inlineStr">
        <is>
          <t>https://en.wikipedia.org/wiki/Dactyl_(moon)</t>
        </is>
      </c>
    </row>
    <row r="10">
      <c r="A10" s="5" t="n">
        <v>5</v>
      </c>
      <c r="B10" s="5" t="inlineStr">
        <is>
          <t>Occultation</t>
        </is>
      </c>
      <c r="C10" s="5" t="inlineStr">
        <is>
          <t>Wikipedia</t>
        </is>
      </c>
      <c r="D10" s="5" t="inlineStr">
        <is>
          <t>https://en.wikipedia.org/wiki/Occultation</t>
        </is>
      </c>
    </row>
    <row r="11">
      <c r="A11" s="5" t="n">
        <v>6</v>
      </c>
      <c r="B11" s="5" t="inlineStr">
        <is>
          <t>Hubble Space Telescope</t>
        </is>
      </c>
      <c r="C11" s="5" t="inlineStr">
        <is>
          <t>Wikipedia</t>
        </is>
      </c>
      <c r="D11" s="5" t="inlineStr">
        <is>
          <t>https://en.wikipedia.org/wiki/Hubble_Space_Telescope</t>
        </is>
      </c>
    </row>
    <row r="12">
      <c r="A12" s="5" t="n">
        <v>7</v>
      </c>
      <c r="B12" s="5" t="inlineStr">
        <is>
          <t>Auguste Charlois</t>
        </is>
      </c>
      <c r="C12" s="5" t="inlineStr">
        <is>
          <t>Wikipedia</t>
        </is>
      </c>
      <c r="D12" s="5" t="inlineStr">
        <is>
          <t>https://en.wikipedia.org/wiki/Auguste_Charlois</t>
        </is>
      </c>
    </row>
    <row r="13">
      <c r="A13" s="5" t="n">
        <v>8</v>
      </c>
      <c r="B13" s="5" t="inlineStr">
        <is>
          <t>Planetary Fact Sheet (orbit comparison)</t>
        </is>
      </c>
      <c r="C13" s="5" t="inlineStr">
        <is>
          <t>NASA NSSDCA</t>
        </is>
      </c>
      <c r="D13" s="5" t="inlineStr">
        <is>
          <t>https://nssdc.gsfc.nasa.gov/planetary/factsheet/</t>
        </is>
      </c>
    </row>
    <row r="14">
      <c r="A14" s="5" t="n">
        <v>9</v>
      </c>
      <c r="B14" s="5" t="inlineStr">
        <is>
          <t>Carry, B. (2012). Density of asteroids. Planetary and Space Science 73, 98–118</t>
        </is>
      </c>
      <c r="C14" s="5" t="inlineStr">
        <is>
          <t>Elsevier</t>
        </is>
      </c>
      <c r="D14" s="5" t="inlineStr">
        <is>
          <t>https://doi.org/10.1016/j.pss.2012.03.009</t>
        </is>
      </c>
    </row>
    <row r="15">
      <c r="A15" s="5" t="n">
        <v>10</v>
      </c>
      <c r="B15" s="5" t="inlineStr">
        <is>
          <t>JPL Small-Body Database (SBDB) API record</t>
        </is>
      </c>
      <c r="C15" s="5" t="inlineStr">
        <is>
          <t>NASA/JPL Solar System Dynamics</t>
        </is>
      </c>
      <c r="D15" s="5" t="inlineStr">
        <is>
          <t>https://ssd-api.jpl.nasa.gov/sbdb.api?sstr=532&amp;phys-par=1</t>
        </is>
      </c>
    </row>
    <row r="16">
      <c r="A16" s="5" t="n">
        <v>11</v>
      </c>
      <c r="B16" s="5" t="inlineStr">
        <is>
          <t>Moon Facts (surface gravity about one-sixth of Earth’s)</t>
        </is>
      </c>
      <c r="C16" s="5" t="inlineStr">
        <is>
          <t>NASA Science</t>
        </is>
      </c>
      <c r="D16" s="5" t="inlineStr">
        <is>
          <t>https://science.nasa.gov/moon/facts/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Space Resource Intelligence, published by 10timesIt LLC</dc:creator>
  <dc:title xmlns:dc="http://purl.org/dc/elements/1.1/">532 Herculina — Valuation Model (Sample Edition)</dc:title>
  <dcterms:created xmlns:dcterms="http://purl.org/dc/terms/" xmlns:xsi="http://www.w3.org/2001/XMLSchema-instance" xsi:type="dcterms:W3CDTF">2026-10-25T00:25:37Z</dcterms:created>
  <dcterms:modified xmlns:dcterms="http://purl.org/dc/terms/" xmlns:xsi="http://www.w3.org/2001/XMLSchema-instance" xsi:type="dcterms:W3CDTF">2026-10-25T00:25:37Z</dcterms:modified>
</cp:coreProperties>
</file>